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902B"/>
  <workbookPr codeName="ThisWorkbook"/>
  <bookViews>
    <workbookView xWindow="65521" yWindow="65521" windowWidth="24945" windowHeight="13050" activeTab="2"/>
  </bookViews>
  <sheets>
    <sheet name="Disclaimer" sheetId="1" r:id="rId1"/>
    <sheet name="Toepassingsvoorwaarden" sheetId="2" r:id="rId2"/>
    <sheet name="GBT Toetsing uitloging" sheetId="3" r:id="rId3"/>
  </sheets>
  <definedNames/>
  <calcPr fullCalcOnLoad="1" iterate="1" iterateCount="100" iterateDelta="0.001"/>
</workbook>
</file>

<file path=xl/comments3.xml><?xml version="1.0" encoding="utf-8"?>
<comments xmlns="http://schemas.openxmlformats.org/spreadsheetml/2006/main">
  <authors>
    <author>Opmerking</author>
    <author>Projectleider Bsb</author>
    <author>HH-Bsb</author>
    <author>lm2410</author>
    <author>Martens</author>
  </authors>
  <commentList>
    <comment ref="D2" authorId="0">
      <text>
        <r>
          <rPr>
            <b/>
            <sz val="10"/>
            <rFont val="Tahoma"/>
            <family val="0"/>
          </rPr>
          <t>Opmerking:</t>
        </r>
        <r>
          <rPr>
            <sz val="10"/>
            <rFont val="Tahoma"/>
            <family val="0"/>
          </rPr>
          <t xml:space="preserve">
In de blauw gekleurde velden kunt u de betreffende kenmerken van het project invullen. De gemiddelde voor de betreffende zekerheidsfactor gecorrigeerde gehalten worden getoetst aan eisen voor emissiewaarden uit bijlagen B van De regeling bodemkwaliteit.
</t>
        </r>
      </text>
    </comment>
    <comment ref="D20" authorId="1">
      <text>
        <r>
          <rPr>
            <b/>
            <sz val="10"/>
            <rFont val="Tahoma"/>
            <family val="0"/>
          </rPr>
          <t>Projectleider Bsb:</t>
        </r>
        <r>
          <rPr>
            <sz val="10"/>
            <rFont val="Tahoma"/>
            <family val="0"/>
          </rPr>
          <t xml:space="preserve">
In de vakken voor de cijfers dient bij metingen onder de bepalingsgrens het &lt; teken ingevuld worden.</t>
        </r>
      </text>
    </comment>
    <comment ref="E18" authorId="2">
      <text>
        <r>
          <rPr>
            <b/>
            <sz val="8"/>
            <rFont val="Tahoma"/>
            <family val="0"/>
          </rPr>
          <t>HH-Bsb:</t>
        </r>
        <r>
          <rPr>
            <sz val="8"/>
            <rFont val="Tahoma"/>
            <family val="0"/>
          </rPr>
          <t xml:space="preserve">
Rbk, art. 4.3.3 lid 2
Bij toepassing als bedoeld in artikel 63 van het Besluit;
a. wordt de emissie bepaald door middel van de kolomproef volgens NEN 7373 of NEN 7383 aan de hand van ten minste 1 mengmonster zoals bedoeld in het eerste lid onder c;
b. wordt, indien bij de kolomproef door slechte doorlatendheid van het onderzochte materiaal onvoldoende vloeistof door de kolom stroomt, de emissie berekend aan de hand van de formule uit Bijlage K; en
c. gelden, indien de emissie, bedoeld onder b, kleiner is dan L/S=2, voor het desbetreffende materiaal geen maximale emissiewaarde.</t>
        </r>
      </text>
    </comment>
    <comment ref="H2" authorId="3">
      <text>
        <r>
          <rPr>
            <b/>
            <sz val="8"/>
            <rFont val="Tahoma"/>
            <family val="0"/>
          </rPr>
          <t>lm2410:</t>
        </r>
        <r>
          <rPr>
            <sz val="8"/>
            <rFont val="Tahoma"/>
            <family val="0"/>
          </rPr>
          <t xml:space="preserve">
</t>
        </r>
        <r>
          <rPr>
            <b/>
            <sz val="8"/>
            <rFont val="Tahoma"/>
            <family val="2"/>
          </rPr>
          <t>Uitzonderingen op de informatieplicht over de kwaliteit</t>
        </r>
        <r>
          <rPr>
            <sz val="8"/>
            <rFont val="Tahoma"/>
            <family val="0"/>
          </rPr>
          <t xml:space="preserve">
In beginsel moet van elke partij bouwstof de kwaliteit bepaald zijn en voorzien zij van een milieuhygiënische
verklaring. 
Voor een aantal gevallen is een uitzondering gemaakt vanwege de minimale milieurisico’s in relatie
tot de hoogte van de kosten voor bemonstering:
- het toepassen van metselmortel of gezaagde natuursteen
- het zonder bewerking opnieuw onder dezelfde condities toepassen van vormgegeven bouwstoffen
van beton, keramiek, natuursteen en bakstenen
- het zonder bewerking opnieuw onder dezelfde condities toepassen bouwstoffen , waarvan het
eigendom niet wordt overgedragen (art. 27 Bbk)
- het toepassen van bouwstoffen door particulieren (niet bedrijfsmatig)
Het Bbk is niet van toepassing op het gebruik van bouwstoffen binnen een gebouw.</t>
        </r>
      </text>
    </comment>
    <comment ref="U4" authorId="3">
      <text>
        <r>
          <rPr>
            <b/>
            <sz val="8"/>
            <rFont val="Tahoma"/>
            <family val="0"/>
          </rPr>
          <t>lm2410:</t>
        </r>
        <r>
          <rPr>
            <sz val="8"/>
            <rFont val="Tahoma"/>
            <family val="0"/>
          </rPr>
          <t xml:space="preserve">
Rbk, art. 3.82-2d en -3
tenminste 10000 ton en afkeurfactor = 1,4</t>
        </r>
      </text>
    </comment>
    <comment ref="H12" authorId="4">
      <text>
        <r>
          <rPr>
            <b/>
            <sz val="8"/>
            <rFont val="Tahoma"/>
            <family val="0"/>
          </rPr>
          <t>Martens:</t>
        </r>
        <r>
          <rPr>
            <sz val="8"/>
            <rFont val="Tahoma"/>
            <family val="0"/>
          </rPr>
          <t xml:space="preserve">
De indicatieve toetswaarde voor Barium is uit de Rbk van 2007.
Sinds 07-04-2009 is voor Barium geen toetswaarde meer.
Wordt niet gekozen voor een indicatieve toetsing dan wordt in de sheet gewerkt met een toetswaarde van 1kg/kg c.q. Barium voldoet altijd. Het is aan de toetser om te intrepreteren hoe met de zorglicht moet worden omgegaan.</t>
        </r>
      </text>
    </comment>
    <comment ref="H9" authorId="4">
      <text>
        <r>
          <rPr>
            <b/>
            <sz val="8"/>
            <rFont val="Tahoma"/>
            <family val="0"/>
          </rPr>
          <t>Martens:</t>
        </r>
        <r>
          <rPr>
            <sz val="8"/>
            <rFont val="Tahoma"/>
            <family val="0"/>
          </rPr>
          <t xml:space="preserve">
Het betreft de toetsing aan de samenstelling van de 2 monsters van de partijkeuring zoals die in eerder stadium is uitgevoerd.
Zie ook: blad 'Toepassingsvoorwaarden'.</t>
        </r>
      </text>
    </comment>
    <comment ref="H10" authorId="4">
      <text>
        <r>
          <rPr>
            <b/>
            <sz val="8"/>
            <rFont val="Tahoma"/>
            <family val="0"/>
          </rPr>
          <t>Martens:</t>
        </r>
        <r>
          <rPr>
            <sz val="8"/>
            <rFont val="Tahoma"/>
            <family val="0"/>
          </rPr>
          <t xml:space="preserve">
Het betreft de toetsing aan de samenstelling van de 2 monsters van de partijkeuring zoals die in eerder stadium is uitgevoerd.
Zie ook: blad 'Toepassingsvoorwaarden'.</t>
        </r>
      </text>
    </comment>
  </commentList>
</comments>
</file>

<file path=xl/sharedStrings.xml><?xml version="1.0" encoding="utf-8"?>
<sst xmlns="http://schemas.openxmlformats.org/spreadsheetml/2006/main" count="208" uniqueCount="150">
  <si>
    <t>arseen</t>
  </si>
  <si>
    <t>cadmium</t>
  </si>
  <si>
    <t>chroom</t>
  </si>
  <si>
    <t>koper</t>
  </si>
  <si>
    <t>kwik</t>
  </si>
  <si>
    <t>lood</t>
  </si>
  <si>
    <t>nikkel</t>
  </si>
  <si>
    <t>zink</t>
  </si>
  <si>
    <t>droge stof gehalte (massa-%)</t>
  </si>
  <si>
    <t>toets</t>
  </si>
  <si>
    <t>&lt;resultaat&gt;</t>
  </si>
  <si>
    <t>Metalen</t>
  </si>
  <si>
    <t>Y</t>
  </si>
  <si>
    <t>gemiddelde te toetsen gehalte</t>
  </si>
  <si>
    <t>C</t>
  </si>
  <si>
    <t>Datum toetsing:</t>
  </si>
  <si>
    <t>toegestane spreidingsmaat</t>
  </si>
  <si>
    <t>antimoon</t>
  </si>
  <si>
    <t>molybdeen</t>
  </si>
  <si>
    <t>vanadium</t>
  </si>
  <si>
    <t>barium</t>
  </si>
  <si>
    <t>&lt;</t>
  </si>
  <si>
    <t>kobalt</t>
  </si>
  <si>
    <t>tin</t>
  </si>
  <si>
    <t>&lt; projectcode &gt;</t>
  </si>
  <si>
    <t>1&lt;d;2&gt;d</t>
  </si>
  <si>
    <t>Eis-i:</t>
  </si>
  <si>
    <t>Labo-d</t>
  </si>
  <si>
    <t>Paraaf:</t>
  </si>
  <si>
    <t>Datum:</t>
  </si>
  <si>
    <t>Naam 2e lezer:</t>
  </si>
  <si>
    <t>Naam toetser:</t>
  </si>
  <si>
    <r>
      <t>C</t>
    </r>
    <r>
      <rPr>
        <vertAlign val="subscript"/>
        <sz val="6"/>
        <rFont val="Arial"/>
        <family val="2"/>
      </rPr>
      <t>h</t>
    </r>
  </si>
  <si>
    <r>
      <t>C</t>
    </r>
    <r>
      <rPr>
        <vertAlign val="subscript"/>
        <sz val="6"/>
        <rFont val="Arial"/>
        <family val="2"/>
      </rPr>
      <t>l</t>
    </r>
  </si>
  <si>
    <t>Parameter, opgaven in mg/kg d.s. tenzij anders aangegeven</t>
  </si>
  <si>
    <r>
      <t>C</t>
    </r>
    <r>
      <rPr>
        <vertAlign val="subscript"/>
        <sz val="8"/>
        <rFont val="Arial"/>
        <family val="2"/>
      </rPr>
      <t>h</t>
    </r>
    <r>
      <rPr>
        <sz val="8"/>
        <rFont val="Arial"/>
        <family val="2"/>
      </rPr>
      <t>/C</t>
    </r>
    <r>
      <rPr>
        <vertAlign val="subscript"/>
        <sz val="8"/>
        <rFont val="Arial"/>
        <family val="2"/>
      </rPr>
      <t>l</t>
    </r>
  </si>
  <si>
    <t>Partij &lt; partijnaam &gt;</t>
  </si>
  <si>
    <t>kappa</t>
  </si>
  <si>
    <t>A: El/s=y</t>
  </si>
  <si>
    <t>B: El/s=y</t>
  </si>
  <si>
    <t>a: El/s=10</t>
  </si>
  <si>
    <t>b: El/s=10</t>
  </si>
  <si>
    <t>berekend</t>
  </si>
  <si>
    <t>gemiddelde te toetsen waarde</t>
  </si>
  <si>
    <t>hoogste emissie/gehalte</t>
  </si>
  <si>
    <t>laagste emissie/gehalte</t>
  </si>
  <si>
    <t>Eis-i</t>
  </si>
  <si>
    <t>L/S-verhouding:</t>
  </si>
  <si>
    <t>1:</t>
  </si>
  <si>
    <t>Project(code):</t>
  </si>
  <si>
    <t>Resultaten van</t>
  </si>
  <si>
    <t>De toepassingsvoorwaarden</t>
  </si>
  <si>
    <t>Rbk, Bijlage A, tabel 1</t>
  </si>
  <si>
    <t>afkeurfactor bij handhavingsonderzoek</t>
  </si>
  <si>
    <t>beide &lt;d</t>
  </si>
  <si>
    <t>d</t>
  </si>
  <si>
    <t xml:space="preserve">  * : verhoogde detectielimiet</t>
  </si>
  <si>
    <t>Y=</t>
  </si>
  <si>
    <t>Disclaimer</t>
  </si>
  <si>
    <t>De rekenblad ontwerper spant zich in om fouten, storingen en onderbrekingen van technische aard zo veel mogelijk te voorkomen. De rekenblad ontwerper kan echter niet garanderen dat onderhavig rekenblad volledig vrij van onderbreking en foutloos is en niet door andere technische problemen wordt getroffen. De rekenblad ontwerper kan niet aansprakelijk worden gesteld voor rechtstreekse of onrechtstreekse schade die ontstaat uit het gebruik van onderhavig rekenblad of van de op of via dit rekenblad ter beschikking gestelde informatie, met inbegrip, zonder beperking, van alle verliezen, werkonderbrekingen, beschadiging van uw programma's of andere gegevens op het computersysteem, of van uw apparatuur of programma's. Storingen, onderbrekingen of fouten in de elektronische toelevering kunnen in geen geval aanleiding geven tot enige financiële compensatie.</t>
  </si>
  <si>
    <t>De rekenblad ontwerper is niet verantwoordelijk voor welke beslissing of handeling dan ook die door de gebruiker zou zijn genomen op basis van de verstrekte informatie of gegevens; noch is hij verantwoordelijk voor fouten of vergissingen; hij is evenmin verantwoordelijk ten aanzien van de gebruiker of derden voor mogelijk geleden directe, indirecte, incidentele schade, winstderving, verlies van opportuniteit of voor eender welke schade veroorzaakt door haar nalatigheid of vergetelheid in het verschaffen, compileren, monteren, schrijven, interpreteren, melden en verspreiden van info of data door middel van dit rekenblad, en dit zelfs indien de rekenblad ontwerper gewaarschuwd werd voor zulke schade.</t>
  </si>
  <si>
    <t>Hyperlinks en verwijzingen
Op of via  dit rekenblad wordt u met (hyper)links doorverwezen naar websites van overheden, instanties of organisaties, en wordt u verwezen naar informatiebronnen die door derden worden beheerd. De rekenblad ontwerper beschikt dan ook over geen enkele technische of inhoudelijke controlemogelijkheid of zeggenschap en kan daarom geen enkele garantie bieden over de volledigheid of juistheid van de inhoud, noch over de beschikbaarheid van deze websites en informatiebronnen. De hyperlinks naar andere sites die dit blad bevat, houden geen enkele bekrachtiging in van de externe site of van de inhoud ervan. De links worden u aangeboden ter informatie en voor uw gebruiksgemak. De rekenblad ontwerper aanvaardt derhalve geen aansprakelijkheid voor rechtstreekse of onrechtstreekse schade die voortvloeit uit het raadplegen of het gebruik van dergelijke externe websites en hun inhoud.</t>
  </si>
  <si>
    <t>Intellectuele eigendomsrechten
U hebt het recht om de informatie op dit blad te consulteren, voor persoonlijk gebruik te downloaden en te reproduceren, mits u de bron vermeldt, overeenkomstig de bepalingen van de wet betreffende het auteursrecht en de naburige rechten. De rekenblad ontwerper behoudt alle intellectuele eigendomsrechten in dit rekenblad zelf en op de ter beschikking gestelde informatie voor zover deze niet openbaar is volgens de wet.</t>
  </si>
  <si>
    <t>Vertrouwelijkheid
Alle commentaar of materiaal dat u ongevraagd en uit eigen beweging aan de rekenblad ontwerper bezorgt, met inbegrip van de gegevens of reacties betreffende de inhoud van dit rekenblad, zal als niet-vertrouwelijk worden beschouwd, tenzij u uitdrukkelijk anders bepaalt. De rekenblad ontwerper wijst iedere verplichting van de hand inzake het gevolg dat aan die algemene reacties en gegevens moet worden gegeven. De rekenblad ontwerper mag die reacties en gegevens naar eigen goeddunken gebruiken, behoudens beperkingen bepaald in de wet tot bescherming van persoonsgegevens. U stemt ermee in dat de rekenblad ontwerper de ideeën, concepten, kennis en technieken, vervat in uw reacties, kan aanwenden voor welk doel ook, met inbegrip van, onder andere, de ontwikkeling en het concipiëren van nieuwe diensten.</t>
  </si>
  <si>
    <t>Geschillen
Alle geschillen en vorderingen die voortkomen uit het gebruik van dit rekenblad of enig gegeven dat erop staat, vallen onder de toepassing van het Nederlands recht. Gebruik van dit rekenblad houdt in dat u zich onderwerpt aan de rechtspraak van de rechtbanken van Nederland en dat u aanvaardt om alle gedingen alleen voor die rechtbanken te brengen.</t>
  </si>
  <si>
    <t>&lt;datum&gt;</t>
  </si>
  <si>
    <t>soort keuring-&gt;gebruiker=1; handhaver=0</t>
  </si>
  <si>
    <t>emissie mg/kg d.s.</t>
  </si>
  <si>
    <t>ZF/AF</t>
  </si>
  <si>
    <t>zekerheidsfactor / afkeurfactor</t>
  </si>
  <si>
    <t>(1=ja;0=nee)</t>
  </si>
  <si>
    <t>Bodem+ FAQ 27-03-2012</t>
  </si>
  <si>
    <t>Er is een partij grond gekeurd en deze blijkt bij toetsing schoon te zijn.</t>
  </si>
  <si>
    <t>Nu is voor deze partij ook uitloogonderzoek gedaan en blijkt de</t>
  </si>
  <si>
    <t>gemeten emissie niet te voldoen aan de maximale emissiewaarde.</t>
  </si>
  <si>
    <t>Mag deze partij toch worden toegepast als schone grond</t>
  </si>
  <si>
    <t>Ja, op grond van artikel 39 van het Besluit bodemkwaliteit is grond die</t>
  </si>
  <si>
    <t>voldoet aan de Achtergrondwaarden altijd toepasbaar.</t>
  </si>
  <si>
    <t>Dit ondanks de overschrijding van de maximale emissiewaarde.</t>
  </si>
  <si>
    <t>Overigens regelt het 2e onderdeel van artikel 4.12.1 van de</t>
  </si>
  <si>
    <t>Regeling bodemkwaliteit dat indien een gemeten gehalte voor</t>
  </si>
  <si>
    <t>een betreffende stof voldoet aan de emissietoetswaarde er voor</t>
  </si>
  <si>
    <t>die betreffende stof geen emissie eis meer geldt.</t>
  </si>
  <si>
    <t>Zie voor meer informatie de toelichting bij de wijziging van de</t>
  </si>
  <si>
    <t xml:space="preserve"> Regeling bodemkwaliteit van 1 juli 2008</t>
  </si>
  <si>
    <t>(Staatscourant 2008, nr 122, wijzigingsonderdeel N).</t>
  </si>
  <si>
    <t>Wijziging Regeling bodemkwaliteit per 1 april 2012</t>
  </si>
  <si>
    <t>In de Staatscourant van 29 maart 2012 is een wijziging van de</t>
  </si>
  <si>
    <t>Regeling bodemkwaliteit geplaatst. Deze wijziging treedt op 1 april 2012</t>
  </si>
  <si>
    <t>in werking en heeft voornamelijk betrekking op verduidelijking van de</t>
  </si>
  <si>
    <t>regelgeving, verlenging van overgangstermijnen en het opnemen van</t>
  </si>
  <si>
    <t>geactualiseerde verwijzingen naar beoordelingsrichtlijnen in bijlage C.</t>
  </si>
  <si>
    <t>Met deze aanpassing van de Regeling wordt aangesloten op de gangbare</t>
  </si>
  <si>
    <t>praktijk van uitloogonderzoek bij grond van de afgelopen jaren.</t>
  </si>
  <si>
    <t>Er wordt verduidelijkt dat bij een partijkeuring in geval van een grootschalige</t>
  </si>
  <si>
    <t>mengmonster onderzocht hoeft te worden op emissie.</t>
  </si>
  <si>
    <t>Met deze wijzigingen zijn een aantal uitvoeringsvraagstukken opgelost.</t>
  </si>
  <si>
    <t xml:space="preserve">De wijzigingen treden in werking per 1 april 2012. </t>
  </si>
  <si>
    <t>Bodem+ FAQ 02-04-2012</t>
  </si>
  <si>
    <r>
      <t xml:space="preserve">toepassing bij overschrijding van de emissietoetswaarde slechts </t>
    </r>
    <r>
      <rPr>
        <b/>
        <sz val="8"/>
        <color indexed="8"/>
        <rFont val="Arial"/>
        <family val="2"/>
      </rPr>
      <t>één</t>
    </r>
  </si>
  <si>
    <t>Eisen aan volume en toepassingshoogte</t>
  </si>
  <si>
    <t>Een GBT is een toepassing waarin een grote hoeveelheid grond of baggerspecie wordt toegepast.</t>
  </si>
  <si>
    <t>Voor wegen en spoorwegen waarop een laag bouwstoffen is toegepast, geldt een minimale toepassingshoogte van 0,5 m.</t>
  </si>
  <si>
    <t>Een GBT bestaat uit een kern en een leeflaag. Een GBT dient te worden afgedekt met een leeflaag van tenminste 0,5 m dik.</t>
  </si>
  <si>
    <t>De leeflaag mag op plaatsen bestaan uit een laag bouwstoffen. Deze moeten voldoen aan de eisen uit het Bbk.</t>
  </si>
  <si>
    <t>De kern van de GBT moet voldoen aan emissiewaarden. Deze bestaan uit:</t>
  </si>
  <si>
    <t>- maximale emissiewaarden voor GBT's (uitloging)</t>
  </si>
  <si>
    <t>- emissietoetswaarden voor GBT's (samenstelling) en</t>
  </si>
  <si>
    <t>Als voldaan wordt aan de emissietoetswaarden dan wordt aangenomen dat ook voldaan wordt aan de maximale emissiewaarden.</t>
  </si>
  <si>
    <t>Uitloogonderzoek is dan niet meer nodig.</t>
  </si>
  <si>
    <t>Daarnaast mag een in een GBT toe tepassen partij grond de maximale waarden voor de klasse industrie niet overschrijden, en</t>
  </si>
  <si>
    <t>mag een toe te passen partij baggerspecie niet de interventiewaarden voor waterbodems overschrijden.</t>
  </si>
  <si>
    <t>NB: de emissiewaarden gelden niet voor het toepassen van baggerspecie in een GBT die zich onder het waterniveau bevindt</t>
  </si>
  <si>
    <t>en is gelegen binnen het beheergebied van de waterkwaliteitbeheerder waarvandaan de baggespecie is.</t>
  </si>
  <si>
    <t>van het oppervlaktewater.</t>
  </si>
  <si>
    <t>Een GBT moet blijvend beheerd worden.</t>
  </si>
  <si>
    <t>moet worden.</t>
  </si>
  <si>
    <t>De kwaliteit van de leeflaag moet voldoen aan de strengste eis van kwaliteit en functie ter plekke (omliggende bodem).</t>
  </si>
  <si>
    <t xml:space="preserve">Voor baggerspecie moet de kwaliteit van de leeflaag aansluiten bij de kwaliteit van de baggerspecie in de overige delen </t>
  </si>
  <si>
    <t>Indien door veranderingen aan een GBT niet meer voldaan wordt aan de volumecriteria voor een GBT dan dient de GBT</t>
  </si>
  <si>
    <t>te voldoen aan de eisen van het algemen toetsingskader. In de meeste gevallen betekent dit dat de GBT verwijderd</t>
  </si>
  <si>
    <t xml:space="preserve">Bij veranderingen (bijvoorbeeld een uitbreiding) moet de beheerder dit melden. </t>
  </si>
  <si>
    <t>De uitbreiding hoeft zelf overigens niet te voldoen aan de volumecriteria.</t>
  </si>
  <si>
    <t>Een GBT kent volgen het Bbk volumecriteria: een GBT heeft een minimaal volume van 5000 m3 en een minimale toepassingshoogte van 2 meter.</t>
  </si>
  <si>
    <t>n &gt; Eis</t>
  </si>
  <si>
    <t>n</t>
  </si>
  <si>
    <t>Eis</t>
  </si>
  <si>
    <t>verhoogde d</t>
  </si>
  <si>
    <t>verh. d en &gt;Eis</t>
  </si>
  <si>
    <t>Wilt u voor Barium een indicatieve toetsing laten uitvoeren?</t>
  </si>
  <si>
    <t>[Red.: onuitgesproken is dat dit het monster met de hoogste samenstellingswaarde dient te betreffen dat wordt uitgeloogd!]</t>
  </si>
  <si>
    <t>emissie-eis uit bijlage B van de Regeling bodemkwaliteit</t>
  </si>
  <si>
    <t>Kwaliteitscontrole van de hierboven gesteld conclusie:</t>
  </si>
  <si>
    <t>Rbk, art. 4.3.3 lid 2, maakt u gebruik van 1 of  2 uitloogmonsters?</t>
  </si>
  <si>
    <t>Voldoet de partijtoetsing aan de samenstelling aan AW2000-grond?</t>
  </si>
  <si>
    <t>Voldoet de partijtoetsing van de samenstelling aan de emissietoetswaarden?</t>
  </si>
  <si>
    <t>Toetsresultaat:</t>
  </si>
  <si>
    <t>gehalte in mg/kg d.s.</t>
  </si>
  <si>
    <t>resultaat van de toetsing aan de maximale emissiewaarden</t>
  </si>
  <si>
    <t>Betreft het grond of baggerspecie?</t>
  </si>
  <si>
    <t>(1=grond; 0=baggerspecie)</t>
  </si>
  <si>
    <t>E[M--A]</t>
  </si>
  <si>
    <t>E[M--B]</t>
  </si>
  <si>
    <t>E[M--A]d</t>
  </si>
  <si>
    <t>E[M--B]d</t>
  </si>
  <si>
    <t>Eis / d</t>
  </si>
  <si>
    <t>2&lt;d;1&gt;d</t>
  </si>
  <si>
    <t>gemeten emissie/gehalte in monster A in mg/kg d.s</t>
  </si>
  <si>
    <t>gemeten emissie/gehalte in monster B in mg/kg d.s.</t>
  </si>
  <si>
    <t>GBT Toetsing uitloging</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</si>
</sst>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00"/>
    <numFmt numFmtId="171" formatCode="0.0000"/>
    <numFmt numFmtId="172" formatCode="0.0"/>
    <numFmt numFmtId="173" formatCode="&quot;Ja&quot;;&quot;Ja&quot;;&quot;Nee&quot;"/>
    <numFmt numFmtId="174" formatCode="&quot;Waar&quot;;&quot;Waar&quot;;&quot;Niet waar&quot;"/>
    <numFmt numFmtId="175" formatCode="&quot;Aan&quot;;&quot;Aan&quot;;&quot;Uit&quot;"/>
    <numFmt numFmtId="176" formatCode=";;;"/>
    <numFmt numFmtId="177" formatCode="\:"/>
    <numFmt numFmtId="178" formatCode="d\ mmmm\ yyyy"/>
    <numFmt numFmtId="179" formatCode="#,##0_-"/>
    <numFmt numFmtId="180" formatCode="dd/mmm/yyyy"/>
    <numFmt numFmtId="181" formatCode="d/mmm/yy"/>
    <numFmt numFmtId="182" formatCode="dd/mm/yy"/>
  </numFmts>
  <fonts count="52">
    <font>
      <sz val="10"/>
      <name val="Arial"/>
      <family val="0"/>
    </font>
    <font>
      <sz val="8"/>
      <name val="Arial"/>
      <family val="2"/>
    </font>
    <font>
      <u val="single"/>
      <sz val="10"/>
      <color indexed="12"/>
      <name val="Arial"/>
      <family val="0"/>
    </font>
    <font>
      <u val="single"/>
      <sz val="10"/>
      <color indexed="36"/>
      <name val="Arial"/>
      <family val="0"/>
    </font>
    <font>
      <sz val="10"/>
      <name val="Tahoma"/>
      <family val="0"/>
    </font>
    <font>
      <b/>
      <sz val="10"/>
      <name val="Tahoma"/>
      <family val="0"/>
    </font>
    <font>
      <b/>
      <sz val="8"/>
      <name val="Arial"/>
      <family val="2"/>
    </font>
    <font>
      <sz val="8"/>
      <name val="Tahoma"/>
      <family val="0"/>
    </font>
    <font>
      <b/>
      <sz val="8"/>
      <name val="Tahoma"/>
      <family val="0"/>
    </font>
    <font>
      <sz val="6"/>
      <name val="Arial"/>
      <family val="2"/>
    </font>
    <font>
      <sz val="9"/>
      <name val="Arial"/>
      <family val="2"/>
    </font>
    <font>
      <b/>
      <i/>
      <sz val="8"/>
      <name val="Arial"/>
      <family val="2"/>
    </font>
    <font>
      <vertAlign val="subscript"/>
      <sz val="6"/>
      <name val="Arial"/>
      <family val="2"/>
    </font>
    <font>
      <vertAlign val="subscript"/>
      <sz val="8"/>
      <name val="Arial"/>
      <family val="2"/>
    </font>
    <font>
      <i/>
      <sz val="8"/>
      <name val="Arial"/>
      <family val="2"/>
    </font>
    <font>
      <b/>
      <sz val="8"/>
      <color indexed="10"/>
      <name val="Arial"/>
      <family val="2"/>
    </font>
    <font>
      <sz val="8"/>
      <color indexed="8"/>
      <name val="Arial"/>
      <family val="2"/>
    </font>
    <font>
      <b/>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0" borderId="3" applyNumberFormat="0" applyFill="0" applyAlignment="0" applyProtection="0"/>
    <xf numFmtId="0" fontId="3" fillId="0" borderId="0" applyNumberFormat="0" applyFill="0" applyBorder="0" applyAlignment="0" applyProtection="0"/>
    <xf numFmtId="0" fontId="40" fillId="28" borderId="0" applyNumberFormat="0" applyBorder="0" applyAlignment="0" applyProtection="0"/>
    <xf numFmtId="0" fontId="2" fillId="0" borderId="0" applyNumberFormat="0" applyFill="0" applyBorder="0" applyAlignment="0" applyProtection="0"/>
    <xf numFmtId="0" fontId="4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31" borderId="7" applyNumberFormat="0" applyFont="0" applyAlignment="0" applyProtection="0"/>
    <xf numFmtId="0" fontId="46" fillId="32"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6" borderId="9" applyNumberFormat="0" applyAlignment="0" applyProtection="0"/>
    <xf numFmtId="169"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154">
    <xf numFmtId="0" fontId="0" fillId="0" borderId="0" xfId="0" applyAlignment="1">
      <alignment/>
    </xf>
    <xf numFmtId="0" fontId="1" fillId="0" borderId="0" xfId="0" applyFont="1" applyFill="1" applyAlignment="1">
      <alignment/>
    </xf>
    <xf numFmtId="0" fontId="1" fillId="0" borderId="0" xfId="0" applyFont="1" applyAlignment="1">
      <alignment/>
    </xf>
    <xf numFmtId="0" fontId="1"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Alignment="1">
      <alignment horizontal="left"/>
    </xf>
    <xf numFmtId="0" fontId="9" fillId="0" borderId="0" xfId="0" applyFont="1" applyFill="1" applyBorder="1" applyAlignment="1">
      <alignment horizontal="right"/>
    </xf>
    <xf numFmtId="0" fontId="10" fillId="0" borderId="0" xfId="0" applyFont="1" applyFill="1" applyAlignment="1">
      <alignment/>
    </xf>
    <xf numFmtId="0" fontId="10" fillId="0" borderId="0" xfId="0" applyFont="1" applyAlignment="1">
      <alignment/>
    </xf>
    <xf numFmtId="0" fontId="10" fillId="0" borderId="0" xfId="0" applyFont="1" applyFill="1" applyAlignment="1">
      <alignment horizontal="left"/>
    </xf>
    <xf numFmtId="0" fontId="1" fillId="0" borderId="10" xfId="0" applyFont="1" applyFill="1" applyBorder="1" applyAlignment="1">
      <alignment horizontal="left"/>
    </xf>
    <xf numFmtId="0" fontId="1" fillId="0" borderId="0" xfId="0" applyFont="1" applyBorder="1" applyAlignment="1">
      <alignment/>
    </xf>
    <xf numFmtId="0" fontId="1" fillId="0" borderId="0" xfId="0" applyNumberFormat="1" applyFont="1" applyAlignment="1">
      <alignment/>
    </xf>
    <xf numFmtId="0" fontId="1" fillId="0" borderId="0" xfId="0" applyNumberFormat="1" applyFont="1" applyFill="1" applyAlignment="1">
      <alignment horizontal="right"/>
    </xf>
    <xf numFmtId="0" fontId="1" fillId="0" borderId="0" xfId="0" applyNumberFormat="1" applyFont="1" applyFill="1" applyAlignment="1">
      <alignment/>
    </xf>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right"/>
    </xf>
    <xf numFmtId="0" fontId="1" fillId="0" borderId="0" xfId="0" applyFont="1" applyAlignment="1" quotePrefix="1">
      <alignment horizontal="righ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0" fontId="6" fillId="0" borderId="11" xfId="0" applyFont="1" applyBorder="1" applyAlignment="1">
      <alignment/>
    </xf>
    <xf numFmtId="0" fontId="1" fillId="0" borderId="0" xfId="0" applyFont="1" applyBorder="1" applyAlignment="1">
      <alignment horizontal="left"/>
    </xf>
    <xf numFmtId="0" fontId="9" fillId="0" borderId="0" xfId="0" applyFont="1" applyFill="1" applyBorder="1" applyAlignment="1">
      <alignment horizontal="left"/>
    </xf>
    <xf numFmtId="0" fontId="6" fillId="0" borderId="10" xfId="0" applyFont="1" applyBorder="1" applyAlignment="1">
      <alignment horizontal="center"/>
    </xf>
    <xf numFmtId="0" fontId="1" fillId="0" borderId="0" xfId="0" applyNumberFormat="1" applyFont="1" applyFill="1" applyAlignment="1">
      <alignment horizontal="center"/>
    </xf>
    <xf numFmtId="0" fontId="1" fillId="0" borderId="0" xfId="0" applyFont="1" applyAlignment="1">
      <alignment horizontal="center"/>
    </xf>
    <xf numFmtId="0" fontId="1" fillId="0" borderId="0" xfId="0" applyFont="1" applyFill="1" applyAlignment="1">
      <alignment horizontal="left"/>
    </xf>
    <xf numFmtId="0" fontId="1" fillId="0" borderId="0" xfId="0" applyFont="1" applyAlignment="1">
      <alignment/>
    </xf>
    <xf numFmtId="0" fontId="1" fillId="0" borderId="0" xfId="0" applyFont="1" applyFill="1" applyBorder="1" applyAlignment="1">
      <alignment horizontal="right"/>
    </xf>
    <xf numFmtId="0" fontId="1" fillId="33" borderId="0" xfId="0" applyFont="1" applyFill="1" applyAlignment="1" applyProtection="1">
      <alignment horizontal="right"/>
      <protection locked="0"/>
    </xf>
    <xf numFmtId="0" fontId="1" fillId="33" borderId="0" xfId="0" applyNumberFormat="1" applyFont="1" applyFill="1" applyAlignment="1" applyProtection="1">
      <alignment horizontal="left"/>
      <protection locked="0"/>
    </xf>
    <xf numFmtId="0" fontId="1" fillId="0" borderId="0" xfId="0" applyFont="1" applyFill="1" applyAlignment="1">
      <alignment horizontal="center"/>
    </xf>
    <xf numFmtId="172" fontId="1" fillId="0" borderId="0" xfId="0" applyNumberFormat="1" applyFont="1" applyFill="1" applyAlignment="1">
      <alignment horizontal="center"/>
    </xf>
    <xf numFmtId="0" fontId="1" fillId="33" borderId="0" xfId="0" applyNumberFormat="1" applyFont="1" applyFill="1" applyBorder="1" applyAlignment="1" applyProtection="1">
      <alignment horizontal="left"/>
      <protection locked="0"/>
    </xf>
    <xf numFmtId="0" fontId="1" fillId="33" borderId="0" xfId="0" applyNumberFormat="1" applyFont="1" applyFill="1" applyBorder="1" applyAlignment="1" applyProtection="1" quotePrefix="1">
      <alignment horizontal="left"/>
      <protection locked="0"/>
    </xf>
    <xf numFmtId="0" fontId="1" fillId="33" borderId="10" xfId="0" applyFont="1" applyFill="1" applyBorder="1" applyAlignment="1" applyProtection="1">
      <alignment horizontal="right"/>
      <protection locked="0"/>
    </xf>
    <xf numFmtId="0" fontId="1" fillId="0" borderId="10" xfId="0" applyFont="1" applyFill="1" applyBorder="1" applyAlignment="1">
      <alignment horizontal="center"/>
    </xf>
    <xf numFmtId="172" fontId="1" fillId="0" borderId="10" xfId="0" applyNumberFormat="1" applyFont="1" applyFill="1" applyBorder="1" applyAlignment="1">
      <alignment horizontal="center"/>
    </xf>
    <xf numFmtId="0" fontId="6" fillId="0" borderId="0" xfId="0" applyFont="1" applyFill="1" applyBorder="1" applyAlignment="1">
      <alignment horizontal="left"/>
    </xf>
    <xf numFmtId="0" fontId="1" fillId="0" borderId="0" xfId="0" applyNumberFormat="1" applyFont="1" applyFill="1" applyBorder="1" applyAlignment="1" applyProtection="1">
      <alignment horizontal="left"/>
      <protection locked="0"/>
    </xf>
    <xf numFmtId="0" fontId="1" fillId="0" borderId="10" xfId="0" applyFont="1" applyFill="1" applyBorder="1" applyAlignment="1">
      <alignment/>
    </xf>
    <xf numFmtId="0" fontId="6" fillId="0" borderId="10" xfId="0" applyFont="1" applyFill="1" applyBorder="1" applyAlignment="1">
      <alignment horizontal="left"/>
    </xf>
    <xf numFmtId="2" fontId="1" fillId="0" borderId="0" xfId="0" applyNumberFormat="1" applyFont="1" applyFill="1" applyBorder="1" applyAlignment="1">
      <alignment horizontal="left"/>
    </xf>
    <xf numFmtId="0" fontId="6" fillId="0" borderId="0" xfId="0" applyFont="1" applyFill="1" applyBorder="1" applyAlignment="1">
      <alignment/>
    </xf>
    <xf numFmtId="176" fontId="1" fillId="0" borderId="0" xfId="0" applyNumberFormat="1" applyFont="1" applyFill="1" applyBorder="1" applyAlignment="1">
      <alignment/>
    </xf>
    <xf numFmtId="0" fontId="1" fillId="33" borderId="0" xfId="0" applyFont="1" applyFill="1" applyBorder="1" applyAlignment="1" applyProtection="1">
      <alignment horizontal="left"/>
      <protection locked="0"/>
    </xf>
    <xf numFmtId="0" fontId="1" fillId="0" borderId="0" xfId="0" applyFont="1" applyAlignment="1">
      <alignment horizontal="right"/>
    </xf>
    <xf numFmtId="172" fontId="1" fillId="0" borderId="0" xfId="0" applyNumberFormat="1" applyFont="1" applyFill="1" applyBorder="1" applyAlignment="1">
      <alignment horizontal="left"/>
    </xf>
    <xf numFmtId="0" fontId="6" fillId="34" borderId="0" xfId="0" applyFont="1" applyFill="1" applyBorder="1" applyAlignment="1">
      <alignment horizontal="left"/>
    </xf>
    <xf numFmtId="0" fontId="1" fillId="34" borderId="0" xfId="0" applyFont="1" applyFill="1" applyBorder="1" applyAlignment="1">
      <alignment/>
    </xf>
    <xf numFmtId="0" fontId="11" fillId="0" borderId="0" xfId="0" applyFont="1" applyFill="1" applyAlignment="1">
      <alignment/>
    </xf>
    <xf numFmtId="0" fontId="6" fillId="0" borderId="0" xfId="0" applyFont="1" applyFill="1" applyAlignment="1">
      <alignment horizontal="center"/>
    </xf>
    <xf numFmtId="0" fontId="1" fillId="0" borderId="0" xfId="0" applyNumberFormat="1" applyFont="1" applyFill="1" applyBorder="1" applyAlignment="1">
      <alignment/>
    </xf>
    <xf numFmtId="0" fontId="1" fillId="0" borderId="0" xfId="0" applyNumberFormat="1" applyFont="1" applyBorder="1" applyAlignment="1">
      <alignment/>
    </xf>
    <xf numFmtId="0" fontId="1" fillId="0" borderId="0" xfId="0" applyNumberFormat="1" applyFont="1" applyAlignment="1">
      <alignment horizontal="center"/>
    </xf>
    <xf numFmtId="0" fontId="1" fillId="0" borderId="12" xfId="0" applyFont="1" applyFill="1" applyBorder="1" applyAlignment="1">
      <alignment horizontal="left"/>
    </xf>
    <xf numFmtId="0" fontId="1" fillId="0" borderId="12" xfId="0" applyFont="1" applyFill="1" applyBorder="1" applyAlignment="1">
      <alignment/>
    </xf>
    <xf numFmtId="0" fontId="1" fillId="0" borderId="10" xfId="0" applyFont="1" applyBorder="1" applyAlignment="1">
      <alignment/>
    </xf>
    <xf numFmtId="0" fontId="6" fillId="0" borderId="10" xfId="0" applyNumberFormat="1" applyFont="1" applyFill="1" applyBorder="1" applyAlignment="1">
      <alignment horizontal="right"/>
    </xf>
    <xf numFmtId="0" fontId="6" fillId="0" borderId="0" xfId="0" applyFont="1" applyAlignment="1">
      <alignment/>
    </xf>
    <xf numFmtId="178" fontId="6" fillId="0" borderId="0" xfId="0" applyNumberFormat="1" applyFont="1" applyFill="1" applyBorder="1" applyAlignment="1" applyProtection="1">
      <alignment horizontal="left"/>
      <protection locked="0"/>
    </xf>
    <xf numFmtId="0" fontId="1" fillId="0" borderId="10" xfId="0" applyNumberFormat="1" applyFont="1" applyBorder="1" applyAlignment="1">
      <alignmen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center"/>
    </xf>
    <xf numFmtId="0" fontId="1" fillId="0" borderId="12" xfId="0" applyFont="1" applyBorder="1" applyAlignment="1">
      <alignment horizontal="left"/>
    </xf>
    <xf numFmtId="0" fontId="1" fillId="0" borderId="10" xfId="0" applyFont="1" applyBorder="1" applyAlignment="1">
      <alignment horizontal="left"/>
    </xf>
    <xf numFmtId="0" fontId="6" fillId="0" borderId="10" xfId="0" applyFont="1" applyBorder="1" applyAlignment="1">
      <alignment horizontal="left"/>
    </xf>
    <xf numFmtId="0" fontId="1" fillId="0" borderId="0" xfId="0" applyNumberFormat="1" applyFont="1" applyBorder="1" applyAlignment="1">
      <alignment horizontal="center"/>
    </xf>
    <xf numFmtId="0" fontId="1" fillId="0" borderId="10" xfId="0" applyFont="1" applyBorder="1" applyAlignment="1">
      <alignment horizontal="center"/>
    </xf>
    <xf numFmtId="0" fontId="6" fillId="0" borderId="10" xfId="0" applyNumberFormat="1" applyFont="1" applyBorder="1" applyAlignment="1">
      <alignment horizontal="center"/>
    </xf>
    <xf numFmtId="0" fontId="6" fillId="0" borderId="0" xfId="0" applyNumberFormat="1" applyFont="1" applyFill="1" applyBorder="1" applyAlignment="1">
      <alignment horizontal="center"/>
    </xf>
    <xf numFmtId="0" fontId="6" fillId="0" borderId="0" xfId="0" applyFont="1" applyAlignment="1">
      <alignment horizontal="left"/>
    </xf>
    <xf numFmtId="0" fontId="1" fillId="0" borderId="0" xfId="0" applyNumberFormat="1" applyFont="1" applyAlignment="1">
      <alignment horizontal="right"/>
    </xf>
    <xf numFmtId="176" fontId="1" fillId="0" borderId="0" xfId="0" applyNumberFormat="1" applyFont="1" applyFill="1" applyAlignment="1">
      <alignment horizontal="center"/>
    </xf>
    <xf numFmtId="0" fontId="1" fillId="0" borderId="10" xfId="0" applyNumberFormat="1" applyFont="1" applyBorder="1" applyAlignment="1">
      <alignment horizontal="right"/>
    </xf>
    <xf numFmtId="0" fontId="1" fillId="0" borderId="10" xfId="0" applyNumberFormat="1" applyFont="1" applyBorder="1" applyAlignment="1">
      <alignment horizontal="center"/>
    </xf>
    <xf numFmtId="176" fontId="1" fillId="0" borderId="0" xfId="0" applyNumberFormat="1" applyFont="1" applyAlignment="1">
      <alignment/>
    </xf>
    <xf numFmtId="0" fontId="1" fillId="0" borderId="0" xfId="0" applyNumberFormat="1" applyFont="1" applyFill="1" applyAlignment="1">
      <alignment horizontal="left"/>
    </xf>
    <xf numFmtId="0" fontId="1" fillId="0" borderId="0" xfId="0" applyNumberFormat="1" applyFont="1" applyAlignment="1">
      <alignment horizontal="left"/>
    </xf>
    <xf numFmtId="0" fontId="1" fillId="0" borderId="13" xfId="0" applyFont="1" applyBorder="1" applyAlignment="1">
      <alignment/>
    </xf>
    <xf numFmtId="0" fontId="1" fillId="0" borderId="14" xfId="0" applyFont="1" applyBorder="1" applyAlignment="1">
      <alignment horizontal="left"/>
    </xf>
    <xf numFmtId="0" fontId="1" fillId="0" borderId="15" xfId="0" applyFont="1" applyBorder="1" applyAlignment="1">
      <alignment/>
    </xf>
    <xf numFmtId="0" fontId="1" fillId="0" borderId="16" xfId="0" applyFont="1" applyBorder="1" applyAlignment="1">
      <alignment horizontal="left"/>
    </xf>
    <xf numFmtId="0" fontId="1" fillId="0" borderId="17" xfId="0" applyFont="1" applyBorder="1" applyAlignment="1">
      <alignment/>
    </xf>
    <xf numFmtId="0" fontId="1" fillId="0" borderId="0" xfId="0" applyNumberFormat="1" applyFont="1" applyFill="1" applyBorder="1" applyAlignment="1" quotePrefix="1">
      <alignment horizontal="right"/>
    </xf>
    <xf numFmtId="0" fontId="1" fillId="0" borderId="0" xfId="0" applyNumberFormat="1" applyFont="1" applyFill="1" applyAlignment="1" quotePrefix="1">
      <alignment horizontal="right"/>
    </xf>
    <xf numFmtId="0" fontId="1" fillId="0" borderId="0" xfId="0" applyFont="1" applyBorder="1" applyAlignment="1">
      <alignment horizontal="center"/>
    </xf>
    <xf numFmtId="176" fontId="1" fillId="0" borderId="0" xfId="0" applyNumberFormat="1" applyFont="1" applyFill="1" applyBorder="1" applyAlignment="1">
      <alignment horizontal="center"/>
    </xf>
    <xf numFmtId="1" fontId="1" fillId="0" borderId="0" xfId="0" applyNumberFormat="1" applyFont="1" applyFill="1" applyBorder="1" applyAlignment="1">
      <alignment/>
    </xf>
    <xf numFmtId="0" fontId="6" fillId="34" borderId="0" xfId="0" applyFont="1" applyFill="1" applyBorder="1" applyAlignment="1">
      <alignment/>
    </xf>
    <xf numFmtId="0" fontId="1" fillId="35" borderId="0" xfId="0" applyFont="1" applyFill="1" applyAlignment="1">
      <alignment/>
    </xf>
    <xf numFmtId="0" fontId="1" fillId="35" borderId="0" xfId="0" applyFont="1" applyFill="1" applyBorder="1" applyAlignment="1">
      <alignment/>
    </xf>
    <xf numFmtId="0" fontId="1" fillId="35" borderId="0" xfId="0" applyNumberFormat="1" applyFont="1" applyFill="1" applyBorder="1" applyAlignment="1" applyProtection="1">
      <alignment horizontal="left"/>
      <protection locked="0"/>
    </xf>
    <xf numFmtId="0" fontId="1" fillId="35" borderId="0" xfId="0" applyNumberFormat="1" applyFont="1" applyFill="1" applyBorder="1" applyAlignment="1" applyProtection="1" quotePrefix="1">
      <alignment horizontal="left"/>
      <protection locked="0"/>
    </xf>
    <xf numFmtId="0" fontId="6" fillId="35" borderId="0" xfId="0" applyFont="1" applyFill="1" applyBorder="1" applyAlignment="1">
      <alignment horizontal="right"/>
    </xf>
    <xf numFmtId="0" fontId="1" fillId="35" borderId="0" xfId="0" applyNumberFormat="1" applyFont="1" applyFill="1" applyAlignment="1" applyProtection="1">
      <alignment horizontal="left"/>
      <protection locked="0"/>
    </xf>
    <xf numFmtId="0" fontId="15" fillId="0" borderId="0" xfId="0" applyNumberFormat="1" applyFont="1" applyAlignment="1">
      <alignment/>
    </xf>
    <xf numFmtId="0" fontId="15" fillId="0" borderId="0" xfId="0" applyFont="1" applyAlignment="1">
      <alignment/>
    </xf>
    <xf numFmtId="0" fontId="1" fillId="35" borderId="0" xfId="0" applyFont="1" applyFill="1" applyBorder="1" applyAlignment="1">
      <alignment horizontal="center"/>
    </xf>
    <xf numFmtId="0" fontId="9" fillId="0" borderId="0" xfId="0" applyFont="1" applyFill="1" applyAlignment="1">
      <alignment horizontal="right"/>
    </xf>
    <xf numFmtId="172" fontId="9" fillId="0" borderId="0" xfId="0" applyNumberFormat="1" applyFont="1" applyFill="1" applyAlignment="1">
      <alignment horizontal="left"/>
    </xf>
    <xf numFmtId="0" fontId="6" fillId="0" borderId="0" xfId="0" applyFont="1" applyAlignment="1">
      <alignment wrapText="1"/>
    </xf>
    <xf numFmtId="0" fontId="1" fillId="0" borderId="0" xfId="0" applyFont="1" applyAlignment="1">
      <alignment wrapText="1"/>
    </xf>
    <xf numFmtId="0" fontId="0" fillId="0" borderId="0" xfId="0" applyAlignment="1">
      <alignment wrapText="1"/>
    </xf>
    <xf numFmtId="0" fontId="6" fillId="0" borderId="0" xfId="0" applyNumberFormat="1" applyFont="1" applyFill="1" applyBorder="1" applyAlignment="1" applyProtection="1">
      <alignment horizontal="left"/>
      <protection locked="0"/>
    </xf>
    <xf numFmtId="178" fontId="1" fillId="0" borderId="0" xfId="0" applyNumberFormat="1" applyFont="1" applyFill="1" applyBorder="1" applyAlignment="1">
      <alignment/>
    </xf>
    <xf numFmtId="178" fontId="1" fillId="0" borderId="0" xfId="0" applyNumberFormat="1" applyFont="1" applyFill="1" applyBorder="1" applyAlignment="1">
      <alignment horizontal="right"/>
    </xf>
    <xf numFmtId="0" fontId="10" fillId="0" borderId="0" xfId="0" applyFont="1" applyFill="1" applyAlignment="1" applyProtection="1">
      <alignment horizontal="left"/>
      <protection locked="0"/>
    </xf>
    <xf numFmtId="0" fontId="1" fillId="33" borderId="10" xfId="0" applyNumberFormat="1" applyFont="1" applyFill="1" applyBorder="1" applyAlignment="1" applyProtection="1" quotePrefix="1">
      <alignment horizontal="left"/>
      <protection locked="0"/>
    </xf>
    <xf numFmtId="0" fontId="1" fillId="0" borderId="0" xfId="0" applyFont="1" applyFill="1" applyAlignment="1">
      <alignment horizontal="right"/>
    </xf>
    <xf numFmtId="0" fontId="1" fillId="33" borderId="18" xfId="0" applyFont="1" applyFill="1" applyBorder="1" applyAlignment="1">
      <alignment horizontal="center"/>
    </xf>
    <xf numFmtId="0" fontId="1" fillId="0" borderId="10" xfId="0" applyFont="1" applyBorder="1" applyAlignment="1">
      <alignment horizontal="right"/>
    </xf>
    <xf numFmtId="2" fontId="1" fillId="0" borderId="10" xfId="0" applyNumberFormat="1" applyFont="1" applyFill="1" applyBorder="1" applyAlignment="1">
      <alignment horizontal="center"/>
    </xf>
    <xf numFmtId="0" fontId="1" fillId="0" borderId="19" xfId="0" applyFont="1" applyBorder="1" applyAlignment="1">
      <alignment horizontal="center"/>
    </xf>
    <xf numFmtId="0" fontId="1" fillId="35" borderId="20" xfId="0" applyFont="1" applyFill="1" applyBorder="1" applyAlignment="1">
      <alignment/>
    </xf>
    <xf numFmtId="0" fontId="1" fillId="35" borderId="20" xfId="0" applyFont="1" applyFill="1" applyBorder="1" applyAlignment="1">
      <alignment horizontal="right"/>
    </xf>
    <xf numFmtId="0" fontId="1" fillId="35" borderId="21" xfId="0" applyFont="1" applyFill="1" applyBorder="1" applyAlignment="1">
      <alignment/>
    </xf>
    <xf numFmtId="0" fontId="1" fillId="36" borderId="20" xfId="0" applyFont="1" applyFill="1" applyBorder="1" applyAlignment="1">
      <alignment/>
    </xf>
    <xf numFmtId="0" fontId="10" fillId="0" borderId="0" xfId="0" applyFont="1" applyAlignment="1">
      <alignment horizontal="left"/>
    </xf>
    <xf numFmtId="0" fontId="10" fillId="0" borderId="10" xfId="0" applyFont="1" applyBorder="1" applyAlignment="1">
      <alignment/>
    </xf>
    <xf numFmtId="0" fontId="14" fillId="0" borderId="0" xfId="0" applyNumberFormat="1" applyFont="1" applyFill="1" applyAlignment="1">
      <alignment horizontal="right"/>
    </xf>
    <xf numFmtId="0" fontId="10" fillId="0" borderId="0" xfId="0" applyFont="1" applyFill="1" applyBorder="1" applyAlignment="1" applyProtection="1">
      <alignment horizontal="left"/>
      <protection locked="0"/>
    </xf>
    <xf numFmtId="0" fontId="10" fillId="0" borderId="0" xfId="0" applyFont="1" applyBorder="1" applyAlignment="1">
      <alignment/>
    </xf>
    <xf numFmtId="0" fontId="1" fillId="0" borderId="16" xfId="0" applyNumberFormat="1" applyFont="1" applyFill="1" applyBorder="1" applyAlignment="1">
      <alignment horizontal="right"/>
    </xf>
    <xf numFmtId="0" fontId="1" fillId="0" borderId="22" xfId="0" applyNumberFormat="1" applyFont="1" applyFill="1" applyBorder="1" applyAlignment="1">
      <alignment horizontal="right"/>
    </xf>
    <xf numFmtId="0" fontId="16" fillId="0" borderId="0" xfId="0" applyFont="1" applyAlignment="1">
      <alignment/>
    </xf>
    <xf numFmtId="0" fontId="1" fillId="0" borderId="0" xfId="0" applyFont="1" applyAlignment="1" quotePrefix="1">
      <alignment/>
    </xf>
    <xf numFmtId="0" fontId="16" fillId="0" borderId="0" xfId="0" applyFont="1" applyFill="1" applyBorder="1" applyAlignment="1">
      <alignment horizontal="left" vertical="top"/>
    </xf>
    <xf numFmtId="0" fontId="1" fillId="33" borderId="0" xfId="0" applyNumberFormat="1" applyFont="1" applyFill="1" applyBorder="1" applyAlignment="1" quotePrefix="1">
      <alignment horizontal="right"/>
    </xf>
    <xf numFmtId="0" fontId="15" fillId="0" borderId="0" xfId="0" applyNumberFormat="1" applyFont="1" applyAlignment="1">
      <alignment horizontal="center"/>
    </xf>
    <xf numFmtId="0" fontId="10" fillId="0" borderId="0" xfId="0" applyFont="1" applyAlignment="1">
      <alignment horizontal="center"/>
    </xf>
    <xf numFmtId="0" fontId="9" fillId="0" borderId="0" xfId="0" applyNumberFormat="1" applyFont="1" applyFill="1" applyBorder="1" applyAlignment="1">
      <alignment horizontal="left"/>
    </xf>
    <xf numFmtId="0" fontId="10" fillId="0" borderId="0" xfId="0" applyNumberFormat="1" applyFont="1" applyBorder="1" applyAlignment="1">
      <alignment/>
    </xf>
    <xf numFmtId="0" fontId="6" fillId="0" borderId="0" xfId="0" applyFont="1" applyBorder="1" applyAlignment="1">
      <alignment horizontal="center"/>
    </xf>
    <xf numFmtId="0" fontId="1" fillId="0" borderId="22" xfId="0" applyFont="1" applyFill="1" applyBorder="1" applyAlignment="1">
      <alignment/>
    </xf>
    <xf numFmtId="0" fontId="10" fillId="0" borderId="0" xfId="0" applyFont="1" applyFill="1" applyAlignment="1">
      <alignment horizontal="right"/>
    </xf>
    <xf numFmtId="0" fontId="1" fillId="33" borderId="0" xfId="0" applyNumberFormat="1" applyFont="1" applyFill="1" applyBorder="1" applyAlignment="1" quotePrefix="1">
      <alignment horizontal="left"/>
    </xf>
    <xf numFmtId="0" fontId="1" fillId="33" borderId="0" xfId="0" applyNumberFormat="1" applyFont="1" applyFill="1" applyBorder="1" applyAlignment="1">
      <alignment horizontal="left"/>
    </xf>
    <xf numFmtId="0" fontId="1" fillId="33" borderId="10" xfId="0" applyNumberFormat="1" applyFont="1" applyFill="1" applyBorder="1" applyAlignment="1" quotePrefix="1">
      <alignment horizontal="left"/>
    </xf>
    <xf numFmtId="0" fontId="9" fillId="0" borderId="12" xfId="0" applyFont="1" applyFill="1" applyBorder="1" applyAlignment="1">
      <alignment horizontal="left"/>
    </xf>
    <xf numFmtId="0" fontId="6" fillId="0" borderId="11"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6" fillId="33" borderId="0" xfId="0" applyFont="1" applyFill="1" applyBorder="1" applyAlignment="1">
      <alignment horizontal="left"/>
    </xf>
    <xf numFmtId="0" fontId="6" fillId="0" borderId="23" xfId="0" applyFont="1" applyFill="1" applyBorder="1" applyAlignment="1">
      <alignment horizontal="left"/>
    </xf>
    <xf numFmtId="0" fontId="1" fillId="0" borderId="23" xfId="0" applyFont="1" applyBorder="1" applyAlignment="1">
      <alignment/>
    </xf>
    <xf numFmtId="0" fontId="6" fillId="0" borderId="12" xfId="0" applyFont="1" applyBorder="1" applyAlignment="1">
      <alignment horizontal="left"/>
    </xf>
    <xf numFmtId="0" fontId="1" fillId="0" borderId="12" xfId="0" applyFont="1" applyBorder="1" applyAlignment="1">
      <alignment/>
    </xf>
    <xf numFmtId="0" fontId="6" fillId="33" borderId="12" xfId="0" applyFont="1" applyFill="1" applyBorder="1" applyAlignment="1" applyProtection="1">
      <alignment horizontal="left"/>
      <protection locked="0"/>
    </xf>
    <xf numFmtId="178" fontId="6" fillId="33" borderId="0" xfId="0" applyNumberFormat="1" applyFont="1" applyFill="1" applyBorder="1" applyAlignment="1" applyProtection="1">
      <alignment horizontal="left"/>
      <protection locked="0"/>
    </xf>
    <xf numFmtId="0" fontId="11" fillId="0" borderId="0" xfId="0" applyFont="1" applyAlignment="1">
      <alignment horizontal="left"/>
    </xf>
    <xf numFmtId="0" fontId="9" fillId="0" borderId="0" xfId="0" applyFont="1" applyFill="1" applyAlignment="1">
      <alignment horizontal="left"/>
    </xf>
    <xf numFmtId="0" fontId="1" fillId="0" borderId="1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24">
    <dxf>
      <font>
        <color indexed="9"/>
      </font>
      <fill>
        <patternFill patternType="none">
          <bgColor indexed="65"/>
        </patternFill>
      </fill>
    </dxf>
    <dxf>
      <font>
        <color indexed="9"/>
      </font>
    </dxf>
    <dxf>
      <font>
        <color indexed="9"/>
      </font>
    </dxf>
    <dxf>
      <font>
        <color indexed="9"/>
      </font>
    </dxf>
    <dxf>
      <font>
        <color indexed="9"/>
      </font>
      <fill>
        <patternFill>
          <bgColor indexed="9"/>
        </patternFill>
      </fill>
    </dxf>
    <dxf>
      <font>
        <b val="0"/>
        <i val="0"/>
        <color auto="1"/>
      </font>
      <fill>
        <patternFill patternType="none">
          <bgColor indexed="65"/>
        </patternFill>
      </fill>
      <border>
        <left/>
        <right/>
        <top/>
        <bottom/>
      </border>
    </dxf>
    <dxf>
      <font>
        <b/>
        <i val="0"/>
        <color indexed="48"/>
      </font>
      <fill>
        <patternFill>
          <bgColor indexed="11"/>
        </patternFill>
      </fill>
    </dxf>
    <dxf>
      <font>
        <color indexed="9"/>
      </font>
    </dxf>
    <dxf>
      <font>
        <color indexed="9"/>
      </font>
    </dxf>
    <dxf>
      <font>
        <b/>
        <i val="0"/>
        <color indexed="10"/>
      </font>
    </dxf>
    <dxf>
      <font>
        <color indexed="9"/>
      </font>
      <fill>
        <patternFill>
          <bgColor indexed="9"/>
        </patternFill>
      </fill>
      <border>
        <left/>
        <right/>
        <top/>
        <bottom/>
      </border>
    </dxf>
    <dxf>
      <font>
        <color indexed="9"/>
      </font>
      <fill>
        <patternFill>
          <bgColor indexed="9"/>
        </patternFill>
      </fill>
    </dxf>
    <dxf>
      <font>
        <color indexed="9"/>
      </font>
      <fill>
        <patternFill>
          <bgColor indexed="9"/>
        </patternFill>
      </fill>
    </dxf>
    <dxf>
      <font>
        <b/>
        <i val="0"/>
        <color indexed="10"/>
      </font>
    </dxf>
    <dxf>
      <font>
        <b/>
        <i val="0"/>
        <color indexed="10"/>
      </font>
    </dxf>
    <dxf>
      <font>
        <b/>
        <i val="0"/>
        <color indexed="10"/>
      </font>
    </dxf>
    <dxf>
      <font>
        <color indexed="9"/>
      </font>
      <fill>
        <patternFill>
          <bgColor indexed="9"/>
        </patternFill>
      </fill>
    </dxf>
    <dxf>
      <fill>
        <patternFill>
          <bgColor indexed="52"/>
        </patternFill>
      </fill>
    </dxf>
    <dxf>
      <fill>
        <patternFill>
          <bgColor indexed="52"/>
        </patternFill>
      </fill>
    </dxf>
    <dxf>
      <fill>
        <patternFill>
          <bgColor indexed="41"/>
        </patternFill>
      </fill>
    </dxf>
    <dxf>
      <font>
        <b/>
        <i val="0"/>
      </font>
    </dxf>
    <dxf>
      <font>
        <b/>
        <i val="0"/>
        <color indexed="10"/>
      </font>
    </dxf>
    <dxf>
      <font>
        <color indexed="9"/>
      </font>
    </dxf>
    <dxf>
      <font>
        <b/>
        <i val="0"/>
        <strike val="0"/>
        <color auto="1"/>
      </font>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8" sqref="A8"/>
    </sheetView>
  </sheetViews>
  <sheetFormatPr defaultColWidth="9.140625" defaultRowHeight="12.75"/>
  <cols>
    <col min="1" max="1" width="128.00390625" style="104" customWidth="1"/>
    <col min="2" max="16384" width="9.140625" style="104" customWidth="1"/>
  </cols>
  <sheetData>
    <row r="1" ht="12.75">
      <c r="A1" s="102" t="s">
        <v>58</v>
      </c>
    </row>
    <row r="2" ht="66.75" customHeight="1">
      <c r="A2" s="103" t="s">
        <v>59</v>
      </c>
    </row>
    <row r="3" ht="45.75" customHeight="1">
      <c r="A3" s="103" t="s">
        <v>60</v>
      </c>
    </row>
    <row r="4" ht="91.5" customHeight="1">
      <c r="A4" s="103" t="s">
        <v>61</v>
      </c>
    </row>
    <row r="5" ht="57.75" customHeight="1">
      <c r="A5" s="103" t="s">
        <v>62</v>
      </c>
    </row>
    <row r="6" ht="78.75" customHeight="1">
      <c r="A6" s="103" t="s">
        <v>63</v>
      </c>
    </row>
    <row r="7" ht="45" customHeight="1">
      <c r="A7" s="103" t="s">
        <v>64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68"/>
  <sheetViews>
    <sheetView zoomScalePageLayoutView="0" workbookViewId="0" topLeftCell="A1">
      <selection activeCell="A2" sqref="A2"/>
    </sheetView>
  </sheetViews>
  <sheetFormatPr defaultColWidth="9.140625" defaultRowHeight="12.75"/>
  <cols>
    <col min="1" max="1" width="15.8515625" style="2" customWidth="1"/>
    <col min="2" max="2" width="13.8515625" style="2" customWidth="1"/>
    <col min="3" max="3" width="12.421875" style="2" customWidth="1"/>
    <col min="4" max="4" width="11.28125" style="2" customWidth="1"/>
    <col min="5" max="5" width="23.421875" style="2" customWidth="1"/>
    <col min="6" max="6" width="13.140625" style="2" customWidth="1"/>
    <col min="7" max="16384" width="9.140625" style="2" customWidth="1"/>
  </cols>
  <sheetData>
    <row r="1" ht="11.25">
      <c r="A1" s="60" t="s">
        <v>51</v>
      </c>
    </row>
    <row r="2" ht="11.25">
      <c r="A2" s="60"/>
    </row>
    <row r="3" ht="11.25">
      <c r="A3" s="60" t="s">
        <v>100</v>
      </c>
    </row>
    <row r="4" ht="11.25">
      <c r="A4" s="2" t="s">
        <v>101</v>
      </c>
    </row>
    <row r="5" ht="11.25">
      <c r="A5" s="2" t="s">
        <v>123</v>
      </c>
    </row>
    <row r="6" ht="11.25">
      <c r="A6" s="2" t="s">
        <v>102</v>
      </c>
    </row>
    <row r="8" ht="11.25">
      <c r="A8" s="2" t="s">
        <v>103</v>
      </c>
    </row>
    <row r="9" ht="11.25">
      <c r="A9" s="2" t="s">
        <v>117</v>
      </c>
    </row>
    <row r="10" ht="11.25">
      <c r="A10" s="2" t="s">
        <v>118</v>
      </c>
    </row>
    <row r="11" ht="11.25">
      <c r="A11" s="2" t="s">
        <v>114</v>
      </c>
    </row>
    <row r="12" ht="11.25">
      <c r="A12" s="2" t="s">
        <v>104</v>
      </c>
    </row>
    <row r="13" ht="11.25">
      <c r="A13" s="2" t="s">
        <v>105</v>
      </c>
    </row>
    <row r="14" ht="11.25">
      <c r="A14" s="127" t="s">
        <v>107</v>
      </c>
    </row>
    <row r="15" ht="11.25">
      <c r="A15" s="127" t="s">
        <v>106</v>
      </c>
    </row>
    <row r="16" ht="11.25">
      <c r="A16" s="2" t="s">
        <v>110</v>
      </c>
    </row>
    <row r="17" ht="11.25">
      <c r="A17" s="2" t="s">
        <v>111</v>
      </c>
    </row>
    <row r="18" ht="11.25">
      <c r="A18" s="2" t="s">
        <v>108</v>
      </c>
    </row>
    <row r="19" ht="11.25">
      <c r="A19" s="2" t="s">
        <v>109</v>
      </c>
    </row>
    <row r="20" ht="11.25">
      <c r="A20" s="2" t="s">
        <v>112</v>
      </c>
    </row>
    <row r="21" ht="11.25">
      <c r="A21" s="2" t="s">
        <v>113</v>
      </c>
    </row>
    <row r="23" ht="11.25">
      <c r="A23" s="2" t="s">
        <v>115</v>
      </c>
    </row>
    <row r="25" ht="11.25">
      <c r="A25" s="2" t="s">
        <v>119</v>
      </c>
    </row>
    <row r="26" ht="11.25">
      <c r="A26" s="2" t="s">
        <v>120</v>
      </c>
    </row>
    <row r="27" ht="11.25">
      <c r="A27" s="2" t="s">
        <v>116</v>
      </c>
    </row>
    <row r="28" ht="11.25">
      <c r="A28" s="128" t="s">
        <v>121</v>
      </c>
    </row>
    <row r="29" ht="11.25">
      <c r="A29" s="2" t="s">
        <v>122</v>
      </c>
    </row>
    <row r="32" ht="11.25">
      <c r="A32" s="60" t="s">
        <v>71</v>
      </c>
    </row>
    <row r="33" ht="11.25">
      <c r="A33" s="126" t="s">
        <v>72</v>
      </c>
    </row>
    <row r="34" ht="11.25">
      <c r="A34" s="126" t="s">
        <v>73</v>
      </c>
    </row>
    <row r="35" ht="11.25">
      <c r="A35" s="126" t="s">
        <v>74</v>
      </c>
    </row>
    <row r="36" ht="11.25">
      <c r="A36" s="126" t="s">
        <v>75</v>
      </c>
    </row>
    <row r="37" ht="11.25">
      <c r="A37" s="126"/>
    </row>
    <row r="38" ht="11.25">
      <c r="A38" s="126" t="s">
        <v>76</v>
      </c>
    </row>
    <row r="39" ht="11.25">
      <c r="A39" s="126" t="s">
        <v>77</v>
      </c>
    </row>
    <row r="40" ht="11.25">
      <c r="A40" s="126" t="s">
        <v>78</v>
      </c>
    </row>
    <row r="41" ht="11.25">
      <c r="A41" s="126"/>
    </row>
    <row r="42" ht="11.25">
      <c r="A42" s="126" t="s">
        <v>79</v>
      </c>
    </row>
    <row r="43" ht="11.25">
      <c r="A43" s="126" t="s">
        <v>80</v>
      </c>
    </row>
    <row r="44" ht="11.25">
      <c r="A44" s="126" t="s">
        <v>81</v>
      </c>
    </row>
    <row r="45" ht="11.25">
      <c r="A45" s="126" t="s">
        <v>82</v>
      </c>
    </row>
    <row r="46" ht="11.25">
      <c r="A46" s="126" t="s">
        <v>83</v>
      </c>
    </row>
    <row r="47" ht="11.25">
      <c r="A47" s="126" t="s">
        <v>84</v>
      </c>
    </row>
    <row r="48" ht="11.25">
      <c r="A48" s="126" t="s">
        <v>85</v>
      </c>
    </row>
    <row r="51" ht="11.25">
      <c r="A51" s="60" t="s">
        <v>98</v>
      </c>
    </row>
    <row r="52" ht="11.25">
      <c r="A52" s="126" t="s">
        <v>86</v>
      </c>
    </row>
    <row r="53" ht="11.25">
      <c r="A53" s="126" t="s">
        <v>87</v>
      </c>
    </row>
    <row r="54" ht="11.25">
      <c r="A54" s="126" t="s">
        <v>88</v>
      </c>
    </row>
    <row r="55" ht="11.25">
      <c r="A55" s="126" t="s">
        <v>89</v>
      </c>
    </row>
    <row r="56" ht="11.25">
      <c r="A56" s="126" t="s">
        <v>90</v>
      </c>
    </row>
    <row r="57" ht="11.25">
      <c r="A57" s="126" t="s">
        <v>91</v>
      </c>
    </row>
    <row r="58" ht="11.25">
      <c r="A58" s="126"/>
    </row>
    <row r="59" ht="11.25">
      <c r="A59" s="126" t="s">
        <v>92</v>
      </c>
    </row>
    <row r="60" ht="11.25">
      <c r="A60" s="126" t="s">
        <v>93</v>
      </c>
    </row>
    <row r="61" ht="11.25">
      <c r="A61" s="126" t="s">
        <v>94</v>
      </c>
    </row>
    <row r="62" ht="11.25">
      <c r="A62" s="126" t="s">
        <v>99</v>
      </c>
    </row>
    <row r="63" ht="11.25">
      <c r="A63" s="126" t="s">
        <v>95</v>
      </c>
    </row>
    <row r="64" ht="11.25">
      <c r="A64" s="126"/>
    </row>
    <row r="65" ht="11.25">
      <c r="A65" s="126" t="s">
        <v>96</v>
      </c>
    </row>
    <row r="66" ht="11.25">
      <c r="A66" s="126" t="s">
        <v>97</v>
      </c>
    </row>
    <row r="68" ht="11.25">
      <c r="A68" s="2" t="s">
        <v>130</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Blad2"/>
  <dimension ref="A1:AH75"/>
  <sheetViews>
    <sheetView tabSelected="1" zoomScalePageLayoutView="0" workbookViewId="0" topLeftCell="A1">
      <selection activeCell="B44" sqref="B44:C44"/>
    </sheetView>
  </sheetViews>
  <sheetFormatPr defaultColWidth="9.140625" defaultRowHeight="12.75"/>
  <cols>
    <col min="1" max="1" width="0.42578125" style="8" customWidth="1"/>
    <col min="2" max="2" width="12.140625" style="8" customWidth="1"/>
    <col min="3" max="3" width="3.28125" style="8" customWidth="1"/>
    <col min="4" max="4" width="6.00390625" style="8" customWidth="1"/>
    <col min="5" max="5" width="5.00390625" style="8" customWidth="1"/>
    <col min="6" max="6" width="5.28125" style="8" customWidth="1"/>
    <col min="7" max="7" width="5.7109375" style="8" customWidth="1"/>
    <col min="8" max="8" width="13.00390625" style="8" customWidth="1"/>
    <col min="9" max="9" width="12.57421875" style="8" customWidth="1"/>
    <col min="10" max="10" width="1.421875" style="8" customWidth="1"/>
    <col min="11" max="11" width="9.140625" style="8" customWidth="1"/>
    <col min="12" max="12" width="6.28125" style="8" customWidth="1"/>
    <col min="13" max="14" width="6.8515625" style="8" hidden="1" customWidth="1"/>
    <col min="15" max="15" width="8.140625" style="8" customWidth="1"/>
    <col min="16" max="16" width="4.7109375" style="133" customWidth="1"/>
    <col min="17" max="18" width="10.7109375" style="8" bestFit="1" customWidth="1"/>
    <col min="19" max="19" width="10.8515625" style="8" bestFit="1" customWidth="1"/>
    <col min="20" max="20" width="14.140625" style="8" customWidth="1"/>
    <col min="21" max="21" width="9.140625" style="8" customWidth="1"/>
    <col min="22" max="22" width="15.28125" style="8" customWidth="1"/>
    <col min="23" max="16384" width="9.140625" style="8" customWidth="1"/>
  </cols>
  <sheetData>
    <row r="1" spans="2:16" s="2" customFormat="1" ht="1.5" customHeight="1">
      <c r="B1" s="1"/>
      <c r="C1" s="1"/>
      <c r="D1" s="1"/>
      <c r="E1" s="1"/>
      <c r="F1" s="1"/>
      <c r="G1" s="1"/>
      <c r="H1" s="1"/>
      <c r="I1" s="1"/>
      <c r="J1" s="1"/>
      <c r="K1" s="1"/>
      <c r="L1" s="1"/>
      <c r="M1" s="1"/>
      <c r="N1" s="1"/>
      <c r="O1" s="6"/>
      <c r="P1" s="54"/>
    </row>
    <row r="2" spans="2:23" s="2" customFormat="1" ht="11.25">
      <c r="B2" s="56" t="s">
        <v>49</v>
      </c>
      <c r="C2" s="57"/>
      <c r="D2" s="149" t="s">
        <v>24</v>
      </c>
      <c r="E2" s="149"/>
      <c r="F2" s="149"/>
      <c r="G2" s="149"/>
      <c r="H2" s="149" t="s">
        <v>36</v>
      </c>
      <c r="I2" s="149"/>
      <c r="J2" s="149"/>
      <c r="K2" s="149"/>
      <c r="L2" s="149"/>
      <c r="M2" s="149"/>
      <c r="N2" s="149"/>
      <c r="O2" s="149"/>
      <c r="P2" s="54"/>
      <c r="Q2" s="45"/>
      <c r="R2" s="18"/>
      <c r="S2" s="18"/>
      <c r="T2" s="18"/>
      <c r="U2" s="18"/>
      <c r="V2" s="18"/>
      <c r="W2" s="1"/>
    </row>
    <row r="3" spans="2:23" s="2" customFormat="1" ht="11.25">
      <c r="B3" s="4" t="s">
        <v>15</v>
      </c>
      <c r="C3" s="18"/>
      <c r="D3" s="150" t="s">
        <v>65</v>
      </c>
      <c r="E3" s="150"/>
      <c r="F3" s="150"/>
      <c r="G3" s="150"/>
      <c r="H3" s="144">
        <f>IF(D3="","&lt;- invullen datum verplicht!","")</f>
      </c>
      <c r="I3" s="144"/>
      <c r="J3" s="144"/>
      <c r="K3" s="144"/>
      <c r="L3" s="144"/>
      <c r="M3" s="144"/>
      <c r="N3" s="144"/>
      <c r="O3" s="144"/>
      <c r="P3" s="53"/>
      <c r="Q3" s="89" t="str">
        <f>D3</f>
        <v>&lt;datum&gt;</v>
      </c>
      <c r="U3" s="110"/>
      <c r="V3" s="106"/>
      <c r="W3" s="53"/>
    </row>
    <row r="4" spans="2:24" s="18" customFormat="1" ht="11.25">
      <c r="B4" s="10" t="s">
        <v>66</v>
      </c>
      <c r="C4" s="63"/>
      <c r="D4" s="41"/>
      <c r="E4" s="41"/>
      <c r="F4" s="135"/>
      <c r="G4" s="111">
        <v>1</v>
      </c>
      <c r="H4" s="112"/>
      <c r="I4" s="113"/>
      <c r="J4" s="113"/>
      <c r="K4" s="41"/>
      <c r="L4" s="10"/>
      <c r="M4" s="10"/>
      <c r="N4" s="10"/>
      <c r="O4" s="42"/>
      <c r="P4" s="53"/>
      <c r="T4" s="18">
        <v>1</v>
      </c>
      <c r="U4" s="92">
        <v>1.4</v>
      </c>
      <c r="V4" s="1" t="s">
        <v>53</v>
      </c>
      <c r="W4" s="1"/>
      <c r="X4" s="1"/>
    </row>
    <row r="5" spans="2:23" s="18" customFormat="1" ht="4.5" customHeight="1">
      <c r="B5" s="4"/>
      <c r="D5" s="105"/>
      <c r="K5" s="39"/>
      <c r="L5" s="39"/>
      <c r="M5" s="39"/>
      <c r="N5" s="39"/>
      <c r="P5" s="53"/>
      <c r="U5" s="29"/>
      <c r="V5" s="107"/>
      <c r="W5" s="53"/>
    </row>
    <row r="6" spans="2:23" s="18" customFormat="1" ht="11.25" customHeight="1">
      <c r="B6" s="4" t="s">
        <v>139</v>
      </c>
      <c r="D6" s="105"/>
      <c r="G6" s="111">
        <v>1</v>
      </c>
      <c r="H6" s="18" t="s">
        <v>140</v>
      </c>
      <c r="K6" s="39"/>
      <c r="L6" s="39"/>
      <c r="M6" s="39"/>
      <c r="N6" s="39"/>
      <c r="P6" s="53"/>
      <c r="U6" s="29"/>
      <c r="V6" s="107"/>
      <c r="W6" s="53"/>
    </row>
    <row r="7" spans="2:23" s="18" customFormat="1" ht="11.25" customHeight="1">
      <c r="B7" s="4">
        <f>IF(G6=0,"Betreft het een GBT onder waterniveau in hetzelfde beheergebied?","")</f>
      </c>
      <c r="D7" s="105"/>
      <c r="G7" s="3"/>
      <c r="I7" s="111">
        <v>0</v>
      </c>
      <c r="K7" s="4" t="s">
        <v>70</v>
      </c>
      <c r="L7" s="39"/>
      <c r="M7" s="39"/>
      <c r="N7" s="39"/>
      <c r="P7" s="53"/>
      <c r="U7" s="29"/>
      <c r="V7" s="107"/>
      <c r="W7" s="53"/>
    </row>
    <row r="8" spans="2:23" s="18" customFormat="1" ht="11.25">
      <c r="B8" s="4" t="s">
        <v>133</v>
      </c>
      <c r="D8" s="105"/>
      <c r="E8" s="4"/>
      <c r="F8" s="61"/>
      <c r="G8" s="61"/>
      <c r="I8" s="111">
        <v>2</v>
      </c>
      <c r="J8" s="3"/>
      <c r="K8" s="4"/>
      <c r="L8" s="39"/>
      <c r="M8" s="39"/>
      <c r="N8" s="39"/>
      <c r="O8" s="39"/>
      <c r="P8" s="53"/>
      <c r="U8" s="29"/>
      <c r="V8" s="106"/>
      <c r="W8" s="53"/>
    </row>
    <row r="9" spans="2:16" s="18" customFormat="1" ht="11.25">
      <c r="B9" s="4" t="s">
        <v>134</v>
      </c>
      <c r="D9" s="40"/>
      <c r="E9" s="4"/>
      <c r="F9" s="4"/>
      <c r="G9" s="4"/>
      <c r="I9" s="111">
        <v>0</v>
      </c>
      <c r="J9" s="3"/>
      <c r="K9" s="4" t="s">
        <v>70</v>
      </c>
      <c r="L9" s="39"/>
      <c r="M9" s="39"/>
      <c r="N9" s="39"/>
      <c r="O9" s="39"/>
      <c r="P9" s="53"/>
    </row>
    <row r="10" spans="2:16" s="18" customFormat="1" ht="11.25">
      <c r="B10" s="4" t="s">
        <v>135</v>
      </c>
      <c r="D10" s="40"/>
      <c r="E10" s="4"/>
      <c r="F10" s="4"/>
      <c r="G10" s="4"/>
      <c r="I10" s="111">
        <v>0</v>
      </c>
      <c r="J10" s="3"/>
      <c r="K10" s="4" t="s">
        <v>70</v>
      </c>
      <c r="L10" s="39"/>
      <c r="M10" s="39"/>
      <c r="N10" s="39"/>
      <c r="O10" s="39"/>
      <c r="P10" s="53"/>
    </row>
    <row r="11" spans="2:16" s="18" customFormat="1" ht="11.25">
      <c r="B11" s="4" t="str">
        <f>IF(G6=1,"Is bij de partijtoetsing de maximale waarde voor industrie overschreden?",IF(G6=0,"Is bij de partijtoetsing de i-waarde voor waterbodems overschreden?",""))</f>
        <v>Is bij de partijtoetsing de maximale waarde voor industrie overschreden?</v>
      </c>
      <c r="D11" s="40"/>
      <c r="E11" s="4"/>
      <c r="F11" s="4"/>
      <c r="G11" s="4"/>
      <c r="I11" s="111">
        <v>0</v>
      </c>
      <c r="J11" s="3"/>
      <c r="K11" s="4" t="s">
        <v>70</v>
      </c>
      <c r="L11" s="39"/>
      <c r="M11" s="39"/>
      <c r="N11" s="39"/>
      <c r="O11" s="39"/>
      <c r="P11" s="53"/>
    </row>
    <row r="12" spans="2:16" s="18" customFormat="1" ht="11.25">
      <c r="B12" s="4" t="s">
        <v>129</v>
      </c>
      <c r="D12" s="40"/>
      <c r="E12" s="4"/>
      <c r="F12" s="4"/>
      <c r="I12" s="111">
        <v>1</v>
      </c>
      <c r="J12" s="3"/>
      <c r="K12" s="4" t="s">
        <v>70</v>
      </c>
      <c r="L12" s="39"/>
      <c r="M12" s="39"/>
      <c r="N12" s="39"/>
      <c r="O12" s="39"/>
      <c r="P12" s="53"/>
    </row>
    <row r="13" spans="2:16" s="18" customFormat="1" ht="11.25">
      <c r="B13" s="4"/>
      <c r="D13" s="105"/>
      <c r="E13" s="4"/>
      <c r="F13" s="61"/>
      <c r="G13" s="61"/>
      <c r="I13" s="39"/>
      <c r="J13" s="39"/>
      <c r="K13" s="105"/>
      <c r="L13" s="4"/>
      <c r="M13" s="4"/>
      <c r="N13" s="4"/>
      <c r="O13" s="39"/>
      <c r="P13" s="53"/>
    </row>
    <row r="14" spans="1:34" s="2" customFormat="1" ht="11.25">
      <c r="A14" s="11"/>
      <c r="B14" s="153" t="str">
        <f>IF(G4=1,"Zekerheidsfactor",IF(G4=0,"Afkeurfactor =","fout"))</f>
        <v>Zekerheidsfactor</v>
      </c>
      <c r="C14" s="153"/>
      <c r="D14" s="2">
        <f>IF(G4=0,U4,"")</f>
      </c>
      <c r="E14" s="29" t="str">
        <f>IF(G4=1,"ZF=",IF(G4=0,"1/AF=","fout"))</f>
        <v>ZF=</v>
      </c>
      <c r="F14" s="43">
        <f>IF(G4=1,1,IF(G4=0,1/U4,"fout"))</f>
        <v>1</v>
      </c>
      <c r="G14" s="18"/>
      <c r="H14" s="18"/>
      <c r="I14" s="39"/>
      <c r="J14" s="39"/>
      <c r="K14" s="105"/>
      <c r="L14" s="4"/>
      <c r="M14" s="4"/>
      <c r="N14" s="4"/>
      <c r="O14" s="18"/>
      <c r="P14" s="54"/>
      <c r="Q14" s="1"/>
      <c r="R14" s="44"/>
      <c r="S14" s="1"/>
      <c r="T14" s="1"/>
      <c r="Y14" s="1"/>
      <c r="Z14" s="1"/>
      <c r="AA14" s="1"/>
      <c r="AB14" s="1"/>
      <c r="AC14" s="1"/>
      <c r="AD14" s="1"/>
      <c r="AE14" s="1"/>
      <c r="AF14" s="1"/>
      <c r="AG14" s="1"/>
      <c r="AH14" s="1"/>
    </row>
    <row r="15" spans="2:16" s="2" customFormat="1" ht="11.25">
      <c r="B15" s="145" t="s">
        <v>34</v>
      </c>
      <c r="C15" s="145"/>
      <c r="D15" s="145"/>
      <c r="E15" s="145"/>
      <c r="F15" s="145"/>
      <c r="G15" s="145"/>
      <c r="H15" s="146"/>
      <c r="I15" s="146"/>
      <c r="J15" s="146"/>
      <c r="K15" s="146"/>
      <c r="L15" s="146"/>
      <c r="M15" s="146"/>
      <c r="N15" s="146"/>
      <c r="O15" s="146"/>
      <c r="P15" s="54"/>
    </row>
    <row r="16" spans="2:16" s="2" customFormat="1" ht="11.25">
      <c r="B16" s="4" t="s">
        <v>8</v>
      </c>
      <c r="C16" s="4"/>
      <c r="D16" s="4"/>
      <c r="E16" s="46">
        <v>100</v>
      </c>
      <c r="F16" s="29"/>
      <c r="G16" s="46">
        <v>100</v>
      </c>
      <c r="K16" s="47" t="s">
        <v>57</v>
      </c>
      <c r="L16" s="99">
        <v>2.5</v>
      </c>
      <c r="M16" s="99"/>
      <c r="N16" s="99"/>
      <c r="O16" s="48"/>
      <c r="P16" s="54"/>
    </row>
    <row r="17" spans="2:16" s="2" customFormat="1" ht="11.25">
      <c r="B17" s="49" t="s">
        <v>50</v>
      </c>
      <c r="C17" s="49" t="str">
        <f>IF(AND(D8=1,D9=1),"diffusieproef volgens NEN 7375",IF(AND(D8=1,D9=2),"kolomproef volgens NEN 7373 of NEN 7383",IF(AND(D8=1,D9=3),"beschikbaarheidsproef conform NEN 7371","kolomproef volgens NEN 7373 of NEN 7383")))</f>
        <v>kolomproef volgens NEN 7373 of NEN 7383</v>
      </c>
      <c r="D17" s="49"/>
      <c r="E17" s="49"/>
      <c r="F17" s="49"/>
      <c r="G17" s="49"/>
      <c r="H17" s="50"/>
      <c r="I17" s="90" t="str">
        <f>IF(D8=1,"in mg/m2",IF(D8=0,"in mg/kg d.s.",""))</f>
        <v>in mg/kg d.s.</v>
      </c>
      <c r="J17" s="90"/>
      <c r="K17" s="50"/>
      <c r="L17" s="50"/>
      <c r="M17" s="50"/>
      <c r="N17" s="50"/>
      <c r="O17" s="50"/>
      <c r="P17" s="54"/>
    </row>
    <row r="18" spans="2:27" s="2" customFormat="1" ht="11.25">
      <c r="B18" s="27" t="s">
        <v>47</v>
      </c>
      <c r="C18" s="27"/>
      <c r="D18" s="86" t="s">
        <v>48</v>
      </c>
      <c r="E18" s="46">
        <v>10</v>
      </c>
      <c r="F18" s="85" t="s">
        <v>48</v>
      </c>
      <c r="G18" s="129">
        <v>10</v>
      </c>
      <c r="L18" s="18"/>
      <c r="M18" s="18"/>
      <c r="N18" s="18"/>
      <c r="O18" s="18"/>
      <c r="P18" s="54"/>
      <c r="W18" s="5">
        <f>IF(E18&lt;2,1,0)</f>
        <v>0</v>
      </c>
      <c r="X18" s="5">
        <f>IF(I8=1,0,IF(G18&lt;2,1,0))</f>
        <v>0</v>
      </c>
      <c r="Y18" s="2" t="s">
        <v>42</v>
      </c>
      <c r="Z18" s="2" t="s">
        <v>42</v>
      </c>
      <c r="AA18" s="2">
        <f>IF(AND(I7=1,G7=0),1,MAX(W18:X18))</f>
        <v>0</v>
      </c>
    </row>
    <row r="19" spans="2:26" s="2" customFormat="1" ht="11.25">
      <c r="B19" s="51" t="s">
        <v>11</v>
      </c>
      <c r="C19" s="1"/>
      <c r="D19" s="1" t="s">
        <v>141</v>
      </c>
      <c r="E19" s="1"/>
      <c r="F19" s="1" t="s">
        <v>142</v>
      </c>
      <c r="G19" s="85"/>
      <c r="H19" s="32" t="s">
        <v>143</v>
      </c>
      <c r="I19" s="32" t="s">
        <v>144</v>
      </c>
      <c r="J19" s="32"/>
      <c r="K19" s="52" t="s">
        <v>10</v>
      </c>
      <c r="L19" s="32" t="s">
        <v>35</v>
      </c>
      <c r="M19" s="32"/>
      <c r="N19" s="32"/>
      <c r="O19" s="1"/>
      <c r="P19" s="68"/>
      <c r="Q19" s="17" t="s">
        <v>25</v>
      </c>
      <c r="R19" s="17" t="s">
        <v>146</v>
      </c>
      <c r="S19" s="47" t="s">
        <v>54</v>
      </c>
      <c r="U19" s="47" t="s">
        <v>37</v>
      </c>
      <c r="W19" s="2" t="s">
        <v>38</v>
      </c>
      <c r="X19" s="2" t="s">
        <v>39</v>
      </c>
      <c r="Y19" s="2" t="s">
        <v>40</v>
      </c>
      <c r="Z19" s="2" t="s">
        <v>41</v>
      </c>
    </row>
    <row r="20" spans="2:26" s="2" customFormat="1" ht="11.25">
      <c r="B20" s="27" t="s">
        <v>17</v>
      </c>
      <c r="C20" s="27"/>
      <c r="D20" s="30" t="s">
        <v>21</v>
      </c>
      <c r="E20" s="31">
        <v>0.009</v>
      </c>
      <c r="F20" s="30" t="s">
        <v>21</v>
      </c>
      <c r="G20" s="137">
        <v>0.009</v>
      </c>
      <c r="H20" s="32">
        <f>IF(E20="","",IF(D20="&lt;",0.7*E20,Y20))</f>
        <v>0.006299999999999999</v>
      </c>
      <c r="I20" s="32">
        <f>IF(G20="","",IF($I$8=1,"n.v.t.",IF(F20="&lt;",0.7*G20,Z20)))</f>
        <v>0.006299999999999999</v>
      </c>
      <c r="J20" s="32"/>
      <c r="K20" s="32">
        <f>IF(AND(H20="",I20=""),"",IF($I$8=2,IF(AND(E20="",G20=""),0,IF(OR(E20="",G20=""),"1 waarde ontbreekt",(H20+I20)/2)),H20))</f>
        <v>0.006299999999999999</v>
      </c>
      <c r="L20" s="33">
        <f>IF($I$8=1,"n.v.t.",IF(AND(E20="",G20=""),"n.v.t.",IF(E20&gt;G20,E20/G20,G20/E20)))</f>
        <v>1</v>
      </c>
      <c r="M20" s="33">
        <f>IF(L20&gt;$L$16,1,0)</f>
        <v>0</v>
      </c>
      <c r="N20" s="33">
        <f>IF(L20="n.v.t.",1,0)</f>
        <v>0</v>
      </c>
      <c r="O20" s="33"/>
      <c r="P20" s="68"/>
      <c r="Q20" s="2">
        <f aca="true" t="shared" si="0" ref="Q20:Q27">+IF(ISNONTEXT(D20)=TRUE,2,IF((CODE(D20)=60),1,2))</f>
        <v>1</v>
      </c>
      <c r="R20" s="2">
        <f aca="true" t="shared" si="1" ref="R20:R27">+IF(ISNONTEXT(F20)=TRUE,2,IF((CODE(F20)=60),1,2))</f>
        <v>1</v>
      </c>
      <c r="S20" s="2">
        <f>IF(AND(Q20=1,R20=1),1,0)</f>
        <v>1</v>
      </c>
      <c r="U20" s="91">
        <v>0.04</v>
      </c>
      <c r="V20" s="2" t="str">
        <f>B20</f>
        <v>antimoon</v>
      </c>
      <c r="W20" s="2">
        <f>IF($E$18&lt;2,"n.b.",IF(AND($E$18&gt;=2,$E$18&lt;10),Y20,E20))</f>
        <v>0.009</v>
      </c>
      <c r="X20" s="2">
        <f>IF($G$18&lt;2,"n.b.",IF(AND($G$18&gt;=2,$G$18&lt;10),Z20,G20))</f>
        <v>0.009</v>
      </c>
      <c r="Y20" s="2">
        <f>E20*((1-EXP(-U20*10))/(1-EXP(-U20*$E$18)))</f>
        <v>0.009</v>
      </c>
      <c r="Z20" s="2">
        <f>G20*((1-EXP(-U20*10))/(1-EXP(-U20*$G$18)))</f>
        <v>0.009</v>
      </c>
    </row>
    <row r="21" spans="2:26" s="2" customFormat="1" ht="11.25">
      <c r="B21" s="27" t="s">
        <v>0</v>
      </c>
      <c r="C21" s="27"/>
      <c r="D21" s="30" t="s">
        <v>21</v>
      </c>
      <c r="E21" s="31">
        <v>0.2</v>
      </c>
      <c r="F21" s="30" t="s">
        <v>21</v>
      </c>
      <c r="G21" s="137">
        <v>0.2</v>
      </c>
      <c r="H21" s="32">
        <f aca="true" t="shared" si="2" ref="H21:H33">IF(E21="","",IF(D21="&lt;",0.7*E21,Y21))</f>
        <v>0.13999999999999999</v>
      </c>
      <c r="I21" s="32">
        <f aca="true" t="shared" si="3" ref="I21:I33">IF(G21="","",IF($I$8=1,"n.v.t.",IF(F21="&lt;",0.7*G21,Z21)))</f>
        <v>0.13999999999999999</v>
      </c>
      <c r="J21" s="32"/>
      <c r="K21" s="32">
        <f aca="true" t="shared" si="4" ref="K21:K33">IF(AND(H21="",I21=""),"",IF($I$8=2,IF(AND(E21="",G21=""),0,IF(OR(E21="",G21=""),"1 waarde ontbreekt",(H21+I21)/2)),H21))</f>
        <v>0.13999999999999999</v>
      </c>
      <c r="L21" s="33">
        <f aca="true" t="shared" si="5" ref="L21:L33">IF($I$8=1,"n.v.t.",IF(AND(E21="",G21=""),"n.v.t.",IF(E21&gt;G21,E21/G21,G21/E21)))</f>
        <v>1</v>
      </c>
      <c r="M21" s="33">
        <f aca="true" t="shared" si="6" ref="M21:M33">IF(L21&gt;$L$16,1,0)</f>
        <v>0</v>
      </c>
      <c r="N21" s="33">
        <f aca="true" t="shared" si="7" ref="N21:N33">IF(L21="n.v.t.",1,0)</f>
        <v>0</v>
      </c>
      <c r="O21" s="33"/>
      <c r="P21" s="68"/>
      <c r="Q21" s="2">
        <f t="shared" si="0"/>
        <v>1</v>
      </c>
      <c r="R21" s="2">
        <f t="shared" si="1"/>
        <v>1</v>
      </c>
      <c r="S21" s="2">
        <f aca="true" t="shared" si="8" ref="S21:S33">IF(AND(Q21=1,R21=1),1,0)</f>
        <v>1</v>
      </c>
      <c r="U21" s="91">
        <v>0.01</v>
      </c>
      <c r="V21" s="2" t="str">
        <f aca="true" t="shared" si="9" ref="V21:V33">B21</f>
        <v>arseen</v>
      </c>
      <c r="W21" s="2">
        <f aca="true" t="shared" si="10" ref="W21:W33">IF($E$18&lt;2,"n.b.",IF(AND($E$18&gt;=2,$E$18&lt;10),Y21,E21))</f>
        <v>0.2</v>
      </c>
      <c r="X21" s="2">
        <f aca="true" t="shared" si="11" ref="X21:X33">IF($G$18&lt;2,"n.b.",IF(AND($G$18&gt;=2,$G$18&lt;10),Z21,G21))</f>
        <v>0.2</v>
      </c>
      <c r="Y21" s="2">
        <f aca="true" t="shared" si="12" ref="Y21:Y33">E21*((1-EXP(-U21*10))/(1-EXP(-U21*$E$18)))</f>
        <v>0.2</v>
      </c>
      <c r="Z21" s="2">
        <f aca="true" t="shared" si="13" ref="Z21:Z33">G21*((1-EXP(-U21*10))/(1-EXP(-U21*$G$18)))</f>
        <v>0.2</v>
      </c>
    </row>
    <row r="22" spans="2:26" s="2" customFormat="1" ht="11.25">
      <c r="B22" s="27" t="s">
        <v>20</v>
      </c>
      <c r="C22" s="27"/>
      <c r="D22" s="30" t="s">
        <v>21</v>
      </c>
      <c r="E22" s="31">
        <v>0.6</v>
      </c>
      <c r="F22" s="30" t="s">
        <v>21</v>
      </c>
      <c r="G22" s="137">
        <v>0.6</v>
      </c>
      <c r="H22" s="32">
        <f t="shared" si="2"/>
        <v>0.42</v>
      </c>
      <c r="I22" s="32">
        <f t="shared" si="3"/>
        <v>0.42</v>
      </c>
      <c r="J22" s="32"/>
      <c r="K22" s="32">
        <f t="shared" si="4"/>
        <v>0.42</v>
      </c>
      <c r="L22" s="33">
        <f t="shared" si="5"/>
        <v>1</v>
      </c>
      <c r="M22" s="33">
        <f t="shared" si="6"/>
        <v>0</v>
      </c>
      <c r="N22" s="33">
        <f t="shared" si="7"/>
        <v>0</v>
      </c>
      <c r="O22" s="33"/>
      <c r="P22" s="68"/>
      <c r="Q22" s="2">
        <f t="shared" si="0"/>
        <v>1</v>
      </c>
      <c r="R22" s="2">
        <f t="shared" si="1"/>
        <v>1</v>
      </c>
      <c r="S22" s="2">
        <f t="shared" si="8"/>
        <v>1</v>
      </c>
      <c r="U22" s="91">
        <v>0.17</v>
      </c>
      <c r="V22" s="2" t="str">
        <f t="shared" si="9"/>
        <v>barium</v>
      </c>
      <c r="W22" s="2">
        <f t="shared" si="10"/>
        <v>0.6</v>
      </c>
      <c r="X22" s="2">
        <f t="shared" si="11"/>
        <v>0.6</v>
      </c>
      <c r="Y22" s="2">
        <f t="shared" si="12"/>
        <v>0.6</v>
      </c>
      <c r="Z22" s="2">
        <f t="shared" si="13"/>
        <v>0.6</v>
      </c>
    </row>
    <row r="23" spans="2:26" s="2" customFormat="1" ht="11.25">
      <c r="B23" s="27" t="s">
        <v>1</v>
      </c>
      <c r="C23" s="27"/>
      <c r="D23" s="30" t="s">
        <v>21</v>
      </c>
      <c r="E23" s="31">
        <v>0.007</v>
      </c>
      <c r="F23" s="30" t="s">
        <v>21</v>
      </c>
      <c r="G23" s="137">
        <v>0.007</v>
      </c>
      <c r="H23" s="32">
        <f t="shared" si="2"/>
        <v>0.0049</v>
      </c>
      <c r="I23" s="32">
        <f t="shared" si="3"/>
        <v>0.0049</v>
      </c>
      <c r="J23" s="32"/>
      <c r="K23" s="32">
        <f t="shared" si="4"/>
        <v>0.0049</v>
      </c>
      <c r="L23" s="33">
        <f t="shared" si="5"/>
        <v>1</v>
      </c>
      <c r="M23" s="33">
        <f t="shared" si="6"/>
        <v>0</v>
      </c>
      <c r="N23" s="33">
        <f t="shared" si="7"/>
        <v>0</v>
      </c>
      <c r="O23" s="33"/>
      <c r="P23" s="68"/>
      <c r="Q23" s="2">
        <f t="shared" si="0"/>
        <v>1</v>
      </c>
      <c r="R23" s="2">
        <f t="shared" si="1"/>
        <v>1</v>
      </c>
      <c r="S23" s="2">
        <f t="shared" si="8"/>
        <v>1</v>
      </c>
      <c r="U23" s="91">
        <v>0.32</v>
      </c>
      <c r="V23" s="2" t="str">
        <f t="shared" si="9"/>
        <v>cadmium</v>
      </c>
      <c r="W23" s="2">
        <f t="shared" si="10"/>
        <v>0.007</v>
      </c>
      <c r="X23" s="2">
        <f t="shared" si="11"/>
        <v>0.007</v>
      </c>
      <c r="Y23" s="2">
        <f t="shared" si="12"/>
        <v>0.007</v>
      </c>
      <c r="Z23" s="2">
        <f t="shared" si="13"/>
        <v>0.007</v>
      </c>
    </row>
    <row r="24" spans="2:26" s="2" customFormat="1" ht="11.25">
      <c r="B24" s="27" t="s">
        <v>22</v>
      </c>
      <c r="C24" s="27"/>
      <c r="D24" s="30" t="s">
        <v>21</v>
      </c>
      <c r="E24" s="31">
        <v>0.07</v>
      </c>
      <c r="F24" s="30" t="s">
        <v>21</v>
      </c>
      <c r="G24" s="137">
        <v>0.07</v>
      </c>
      <c r="H24" s="32">
        <f t="shared" si="2"/>
        <v>0.049</v>
      </c>
      <c r="I24" s="32">
        <f t="shared" si="3"/>
        <v>0.049</v>
      </c>
      <c r="J24" s="32"/>
      <c r="K24" s="32">
        <f t="shared" si="4"/>
        <v>0.049</v>
      </c>
      <c r="L24" s="33">
        <f t="shared" si="5"/>
        <v>1</v>
      </c>
      <c r="M24" s="33">
        <f t="shared" si="6"/>
        <v>0</v>
      </c>
      <c r="N24" s="33">
        <f t="shared" si="7"/>
        <v>0</v>
      </c>
      <c r="O24" s="33"/>
      <c r="P24" s="68"/>
      <c r="Q24" s="2">
        <f t="shared" si="0"/>
        <v>1</v>
      </c>
      <c r="R24" s="2">
        <f t="shared" si="1"/>
        <v>1</v>
      </c>
      <c r="S24" s="2">
        <f t="shared" si="8"/>
        <v>1</v>
      </c>
      <c r="U24" s="91">
        <v>0.13</v>
      </c>
      <c r="V24" s="2" t="str">
        <f t="shared" si="9"/>
        <v>kobalt</v>
      </c>
      <c r="W24" s="2">
        <f t="shared" si="10"/>
        <v>0.07</v>
      </c>
      <c r="X24" s="2">
        <f t="shared" si="11"/>
        <v>0.07</v>
      </c>
      <c r="Y24" s="2">
        <f t="shared" si="12"/>
        <v>0.07</v>
      </c>
      <c r="Z24" s="2">
        <f t="shared" si="13"/>
        <v>0.07</v>
      </c>
    </row>
    <row r="25" spans="2:26" s="2" customFormat="1" ht="11.25">
      <c r="B25" s="27" t="s">
        <v>2</v>
      </c>
      <c r="C25" s="27"/>
      <c r="D25" s="30" t="s">
        <v>21</v>
      </c>
      <c r="E25" s="31">
        <v>0.1</v>
      </c>
      <c r="F25" s="30" t="s">
        <v>21</v>
      </c>
      <c r="G25" s="137">
        <v>0.1</v>
      </c>
      <c r="H25" s="32">
        <f t="shared" si="2"/>
        <v>0.06999999999999999</v>
      </c>
      <c r="I25" s="32">
        <f t="shared" si="3"/>
        <v>0.06999999999999999</v>
      </c>
      <c r="J25" s="32"/>
      <c r="K25" s="32">
        <f t="shared" si="4"/>
        <v>0.06999999999999999</v>
      </c>
      <c r="L25" s="33">
        <f t="shared" si="5"/>
        <v>1</v>
      </c>
      <c r="M25" s="33">
        <f>IF(L25&gt;$L$16,1,0)</f>
        <v>0</v>
      </c>
      <c r="N25" s="33">
        <f t="shared" si="7"/>
        <v>0</v>
      </c>
      <c r="O25" s="33"/>
      <c r="P25" s="68"/>
      <c r="Q25" s="2">
        <f>+IF(ISNONTEXT(D25)=TRUE,2,IF((CODE(D25)=60),1,2))</f>
        <v>1</v>
      </c>
      <c r="R25" s="2">
        <f>+IF(ISNONTEXT(F25)=TRUE,2,IF((CODE(F25)=60),1,2))</f>
        <v>1</v>
      </c>
      <c r="S25" s="2">
        <f>IF(AND(Q25=1,R25=1),1,0)</f>
        <v>1</v>
      </c>
      <c r="U25" s="91">
        <v>0.25</v>
      </c>
      <c r="V25" s="2" t="str">
        <f>B25</f>
        <v>chroom</v>
      </c>
      <c r="W25" s="2">
        <f>IF($E$18&lt;2,"n.b.",IF(AND($E$18&gt;=2,$E$18&lt;10),Y25,E25))</f>
        <v>0.1</v>
      </c>
      <c r="X25" s="2">
        <f>IF($G$18&lt;2,"n.b.",IF(AND($G$18&gt;=2,$G$18&lt;10),Z25,G25))</f>
        <v>0.1</v>
      </c>
      <c r="Y25" s="2">
        <f>E25*((1-EXP(-U25*10))/(1-EXP(-U25*$E$18)))</f>
        <v>0.1</v>
      </c>
      <c r="Z25" s="2">
        <f>G25*((1-EXP(-U25*10))/(1-EXP(-U25*$G$18)))</f>
        <v>0.1</v>
      </c>
    </row>
    <row r="26" spans="2:26" s="2" customFormat="1" ht="11.25">
      <c r="B26" s="27" t="s">
        <v>3</v>
      </c>
      <c r="C26" s="27"/>
      <c r="D26" s="30" t="s">
        <v>21</v>
      </c>
      <c r="E26" s="31">
        <v>0.1</v>
      </c>
      <c r="F26" s="30" t="s">
        <v>21</v>
      </c>
      <c r="G26" s="137">
        <v>0.1</v>
      </c>
      <c r="H26" s="32">
        <f t="shared" si="2"/>
        <v>0.06999999999999999</v>
      </c>
      <c r="I26" s="32">
        <f t="shared" si="3"/>
        <v>0.06999999999999999</v>
      </c>
      <c r="J26" s="32"/>
      <c r="K26" s="32">
        <f t="shared" si="4"/>
        <v>0.06999999999999999</v>
      </c>
      <c r="L26" s="33">
        <f t="shared" si="5"/>
        <v>1</v>
      </c>
      <c r="M26" s="33">
        <f t="shared" si="6"/>
        <v>0</v>
      </c>
      <c r="N26" s="33">
        <f t="shared" si="7"/>
        <v>0</v>
      </c>
      <c r="O26" s="33"/>
      <c r="P26" s="68"/>
      <c r="Q26" s="2">
        <f t="shared" si="0"/>
        <v>1</v>
      </c>
      <c r="R26" s="2">
        <f t="shared" si="1"/>
        <v>1</v>
      </c>
      <c r="S26" s="2">
        <f t="shared" si="8"/>
        <v>1</v>
      </c>
      <c r="U26" s="91">
        <v>0.27</v>
      </c>
      <c r="V26" s="2" t="str">
        <f t="shared" si="9"/>
        <v>koper</v>
      </c>
      <c r="W26" s="2">
        <f t="shared" si="10"/>
        <v>0.1</v>
      </c>
      <c r="X26" s="2">
        <f t="shared" si="11"/>
        <v>0.1</v>
      </c>
      <c r="Y26" s="2">
        <f t="shared" si="12"/>
        <v>0.1</v>
      </c>
      <c r="Z26" s="2">
        <f t="shared" si="13"/>
        <v>0.1</v>
      </c>
    </row>
    <row r="27" spans="2:26" s="2" customFormat="1" ht="11.25">
      <c r="B27" s="27" t="s">
        <v>4</v>
      </c>
      <c r="C27" s="27"/>
      <c r="D27" s="30" t="s">
        <v>21</v>
      </c>
      <c r="E27" s="31">
        <v>0.005</v>
      </c>
      <c r="F27" s="30" t="s">
        <v>21</v>
      </c>
      <c r="G27" s="137">
        <v>0.005</v>
      </c>
      <c r="H27" s="32">
        <f t="shared" si="2"/>
        <v>0.0034999999999999996</v>
      </c>
      <c r="I27" s="32">
        <f t="shared" si="3"/>
        <v>0.0034999999999999996</v>
      </c>
      <c r="J27" s="32"/>
      <c r="K27" s="32">
        <f t="shared" si="4"/>
        <v>0.0034999999999999996</v>
      </c>
      <c r="L27" s="33">
        <f t="shared" si="5"/>
        <v>1</v>
      </c>
      <c r="M27" s="33">
        <f t="shared" si="6"/>
        <v>0</v>
      </c>
      <c r="N27" s="33">
        <f t="shared" si="7"/>
        <v>0</v>
      </c>
      <c r="O27" s="33"/>
      <c r="P27" s="68"/>
      <c r="Q27" s="2">
        <f t="shared" si="0"/>
        <v>1</v>
      </c>
      <c r="R27" s="2">
        <f t="shared" si="1"/>
        <v>1</v>
      </c>
      <c r="S27" s="2">
        <f t="shared" si="8"/>
        <v>1</v>
      </c>
      <c r="U27" s="91">
        <v>0.14</v>
      </c>
      <c r="V27" s="2" t="str">
        <f t="shared" si="9"/>
        <v>kwik</v>
      </c>
      <c r="W27" s="2">
        <f t="shared" si="10"/>
        <v>0.005</v>
      </c>
      <c r="X27" s="2">
        <f t="shared" si="11"/>
        <v>0.005</v>
      </c>
      <c r="Y27" s="2">
        <f t="shared" si="12"/>
        <v>0.005</v>
      </c>
      <c r="Z27" s="2">
        <f t="shared" si="13"/>
        <v>0.005</v>
      </c>
    </row>
    <row r="28" spans="2:26" s="2" customFormat="1" ht="11.25">
      <c r="B28" s="4" t="s">
        <v>5</v>
      </c>
      <c r="C28" s="27"/>
      <c r="D28" s="30" t="s">
        <v>21</v>
      </c>
      <c r="E28" s="34">
        <v>0.3</v>
      </c>
      <c r="F28" s="30" t="s">
        <v>21</v>
      </c>
      <c r="G28" s="137">
        <v>0.3</v>
      </c>
      <c r="H28" s="32">
        <f t="shared" si="2"/>
        <v>0.21</v>
      </c>
      <c r="I28" s="32">
        <f t="shared" si="3"/>
        <v>0.21</v>
      </c>
      <c r="J28" s="32"/>
      <c r="K28" s="32">
        <f t="shared" si="4"/>
        <v>0.21</v>
      </c>
      <c r="L28" s="33">
        <f t="shared" si="5"/>
        <v>1</v>
      </c>
      <c r="M28" s="33">
        <f t="shared" si="6"/>
        <v>0</v>
      </c>
      <c r="N28" s="33">
        <f t="shared" si="7"/>
        <v>0</v>
      </c>
      <c r="O28" s="33"/>
      <c r="P28" s="68"/>
      <c r="Q28" s="2">
        <f aca="true" t="shared" si="14" ref="Q28:Q33">+IF(ISNONTEXT(D28)=TRUE,2,IF((CODE(D28)=60),1,2))</f>
        <v>1</v>
      </c>
      <c r="R28" s="2">
        <f aca="true" t="shared" si="15" ref="R28:R33">+IF(ISNONTEXT(F28)=TRUE,2,IF((CODE(F28)=60),1,2))</f>
        <v>1</v>
      </c>
      <c r="S28" s="2">
        <f t="shared" si="8"/>
        <v>1</v>
      </c>
      <c r="U28" s="91">
        <v>0.18</v>
      </c>
      <c r="V28" s="2" t="str">
        <f t="shared" si="9"/>
        <v>lood</v>
      </c>
      <c r="W28" s="2">
        <f t="shared" si="10"/>
        <v>0.3</v>
      </c>
      <c r="X28" s="2">
        <f t="shared" si="11"/>
        <v>0.3</v>
      </c>
      <c r="Y28" s="2">
        <f t="shared" si="12"/>
        <v>0.3</v>
      </c>
      <c r="Z28" s="2">
        <f t="shared" si="13"/>
        <v>0.3</v>
      </c>
    </row>
    <row r="29" spans="2:26" s="2" customFormat="1" ht="11.25">
      <c r="B29" s="4" t="s">
        <v>18</v>
      </c>
      <c r="C29" s="27"/>
      <c r="D29" s="30" t="s">
        <v>21</v>
      </c>
      <c r="E29" s="34">
        <v>0.05</v>
      </c>
      <c r="F29" s="30" t="s">
        <v>21</v>
      </c>
      <c r="G29" s="138">
        <v>0.05</v>
      </c>
      <c r="H29" s="32">
        <f t="shared" si="2"/>
        <v>0.034999999999999996</v>
      </c>
      <c r="I29" s="32">
        <f t="shared" si="3"/>
        <v>0.034999999999999996</v>
      </c>
      <c r="J29" s="32"/>
      <c r="K29" s="32">
        <f t="shared" si="4"/>
        <v>0.034999999999999996</v>
      </c>
      <c r="L29" s="33">
        <f t="shared" si="5"/>
        <v>1</v>
      </c>
      <c r="M29" s="33">
        <f t="shared" si="6"/>
        <v>0</v>
      </c>
      <c r="N29" s="33">
        <f t="shared" si="7"/>
        <v>0</v>
      </c>
      <c r="O29" s="33"/>
      <c r="P29" s="68"/>
      <c r="Q29" s="2">
        <f t="shared" si="14"/>
        <v>1</v>
      </c>
      <c r="R29" s="2">
        <f t="shared" si="15"/>
        <v>1</v>
      </c>
      <c r="S29" s="2">
        <f t="shared" si="8"/>
        <v>1</v>
      </c>
      <c r="U29" s="91">
        <v>0.38</v>
      </c>
      <c r="V29" s="2" t="str">
        <f t="shared" si="9"/>
        <v>molybdeen</v>
      </c>
      <c r="W29" s="2">
        <f t="shared" si="10"/>
        <v>0.05</v>
      </c>
      <c r="X29" s="2">
        <f t="shared" si="11"/>
        <v>0.05</v>
      </c>
      <c r="Y29" s="2">
        <f t="shared" si="12"/>
        <v>0.05</v>
      </c>
      <c r="Z29" s="2">
        <f t="shared" si="13"/>
        <v>0.05</v>
      </c>
    </row>
    <row r="30" spans="2:26" s="2" customFormat="1" ht="11.25">
      <c r="B30" s="4" t="s">
        <v>6</v>
      </c>
      <c r="C30" s="27"/>
      <c r="D30" s="30" t="s">
        <v>21</v>
      </c>
      <c r="E30" s="34">
        <v>0.2</v>
      </c>
      <c r="F30" s="30" t="s">
        <v>21</v>
      </c>
      <c r="G30" s="137">
        <v>0.2</v>
      </c>
      <c r="H30" s="32">
        <f t="shared" si="2"/>
        <v>0.13999999999999999</v>
      </c>
      <c r="I30" s="32">
        <f t="shared" si="3"/>
        <v>0.13999999999999999</v>
      </c>
      <c r="J30" s="32"/>
      <c r="K30" s="32">
        <f t="shared" si="4"/>
        <v>0.13999999999999999</v>
      </c>
      <c r="L30" s="33">
        <f t="shared" si="5"/>
        <v>1</v>
      </c>
      <c r="M30" s="33">
        <f t="shared" si="6"/>
        <v>0</v>
      </c>
      <c r="N30" s="33">
        <f t="shared" si="7"/>
        <v>0</v>
      </c>
      <c r="O30" s="33"/>
      <c r="P30" s="68"/>
      <c r="Q30" s="2">
        <f t="shared" si="14"/>
        <v>1</v>
      </c>
      <c r="R30" s="2">
        <f t="shared" si="15"/>
        <v>1</v>
      </c>
      <c r="S30" s="2">
        <f t="shared" si="8"/>
        <v>1</v>
      </c>
      <c r="U30" s="91">
        <v>0.26</v>
      </c>
      <c r="V30" s="2" t="str">
        <f t="shared" si="9"/>
        <v>nikkel</v>
      </c>
      <c r="W30" s="2">
        <f t="shared" si="10"/>
        <v>0.2</v>
      </c>
      <c r="X30" s="2">
        <f t="shared" si="11"/>
        <v>0.2</v>
      </c>
      <c r="Y30" s="2">
        <f t="shared" si="12"/>
        <v>0.2</v>
      </c>
      <c r="Z30" s="2">
        <f t="shared" si="13"/>
        <v>0.2</v>
      </c>
    </row>
    <row r="31" spans="2:26" s="2" customFormat="1" ht="11.25">
      <c r="B31" s="4" t="s">
        <v>23</v>
      </c>
      <c r="C31" s="27"/>
      <c r="D31" s="30" t="s">
        <v>21</v>
      </c>
      <c r="E31" s="35">
        <v>0.02</v>
      </c>
      <c r="F31" s="30" t="s">
        <v>21</v>
      </c>
      <c r="G31" s="137">
        <v>0.02</v>
      </c>
      <c r="H31" s="32">
        <f t="shared" si="2"/>
        <v>0.013999999999999999</v>
      </c>
      <c r="I31" s="32">
        <f t="shared" si="3"/>
        <v>0.013999999999999999</v>
      </c>
      <c r="J31" s="32"/>
      <c r="K31" s="32">
        <f t="shared" si="4"/>
        <v>0.013999999999999999</v>
      </c>
      <c r="L31" s="33">
        <f t="shared" si="5"/>
        <v>1</v>
      </c>
      <c r="M31" s="33">
        <f t="shared" si="6"/>
        <v>0</v>
      </c>
      <c r="N31" s="33">
        <f t="shared" si="7"/>
        <v>0</v>
      </c>
      <c r="O31" s="33"/>
      <c r="P31" s="68"/>
      <c r="Q31" s="2">
        <f t="shared" si="14"/>
        <v>1</v>
      </c>
      <c r="R31" s="2">
        <f t="shared" si="15"/>
        <v>1</v>
      </c>
      <c r="S31" s="2">
        <f t="shared" si="8"/>
        <v>1</v>
      </c>
      <c r="U31" s="91">
        <v>0.1</v>
      </c>
      <c r="V31" s="2" t="str">
        <f t="shared" si="9"/>
        <v>tin</v>
      </c>
      <c r="W31" s="2">
        <f t="shared" si="10"/>
        <v>0.02</v>
      </c>
      <c r="X31" s="2">
        <f t="shared" si="11"/>
        <v>0.02</v>
      </c>
      <c r="Y31" s="2">
        <f t="shared" si="12"/>
        <v>0.02</v>
      </c>
      <c r="Z31" s="2">
        <f t="shared" si="13"/>
        <v>0.02</v>
      </c>
    </row>
    <row r="32" spans="2:26" s="2" customFormat="1" ht="11.25">
      <c r="B32" s="4" t="s">
        <v>19</v>
      </c>
      <c r="C32" s="27"/>
      <c r="D32" s="30" t="s">
        <v>21</v>
      </c>
      <c r="E32" s="35">
        <v>0.3</v>
      </c>
      <c r="F32" s="30" t="s">
        <v>21</v>
      </c>
      <c r="G32" s="137">
        <v>0.3</v>
      </c>
      <c r="H32" s="32">
        <f t="shared" si="2"/>
        <v>0.21</v>
      </c>
      <c r="I32" s="32">
        <f t="shared" si="3"/>
        <v>0.21</v>
      </c>
      <c r="J32" s="32"/>
      <c r="K32" s="32">
        <f t="shared" si="4"/>
        <v>0.21</v>
      </c>
      <c r="L32" s="33">
        <f t="shared" si="5"/>
        <v>1</v>
      </c>
      <c r="M32" s="33">
        <f t="shared" si="6"/>
        <v>0</v>
      </c>
      <c r="N32" s="33">
        <f t="shared" si="7"/>
        <v>0</v>
      </c>
      <c r="O32" s="33"/>
      <c r="P32" s="68"/>
      <c r="Q32" s="2">
        <f t="shared" si="14"/>
        <v>1</v>
      </c>
      <c r="R32" s="2">
        <f t="shared" si="15"/>
        <v>1</v>
      </c>
      <c r="S32" s="2">
        <f t="shared" si="8"/>
        <v>1</v>
      </c>
      <c r="U32" s="91">
        <v>0.04</v>
      </c>
      <c r="V32" s="2" t="str">
        <f t="shared" si="9"/>
        <v>vanadium</v>
      </c>
      <c r="W32" s="2">
        <f t="shared" si="10"/>
        <v>0.3</v>
      </c>
      <c r="X32" s="2">
        <f t="shared" si="11"/>
        <v>0.3</v>
      </c>
      <c r="Y32" s="2">
        <f t="shared" si="12"/>
        <v>0.3</v>
      </c>
      <c r="Z32" s="2">
        <f t="shared" si="13"/>
        <v>0.3</v>
      </c>
    </row>
    <row r="33" spans="2:26" s="2" customFormat="1" ht="11.25">
      <c r="B33" s="10" t="s">
        <v>7</v>
      </c>
      <c r="C33" s="10"/>
      <c r="D33" s="36" t="s">
        <v>21</v>
      </c>
      <c r="E33" s="109">
        <v>0.7</v>
      </c>
      <c r="F33" s="36" t="s">
        <v>21</v>
      </c>
      <c r="G33" s="139">
        <v>0.7</v>
      </c>
      <c r="H33" s="37">
        <f t="shared" si="2"/>
        <v>0.48999999999999994</v>
      </c>
      <c r="I33" s="37">
        <f t="shared" si="3"/>
        <v>0.48999999999999994</v>
      </c>
      <c r="J33" s="37"/>
      <c r="K33" s="37">
        <f t="shared" si="4"/>
        <v>0.48999999999999994</v>
      </c>
      <c r="L33" s="38">
        <f t="shared" si="5"/>
        <v>1</v>
      </c>
      <c r="M33" s="38">
        <f t="shared" si="6"/>
        <v>0</v>
      </c>
      <c r="N33" s="38">
        <f t="shared" si="7"/>
        <v>0</v>
      </c>
      <c r="O33" s="38"/>
      <c r="P33" s="68"/>
      <c r="Q33" s="2">
        <f t="shared" si="14"/>
        <v>1</v>
      </c>
      <c r="R33" s="2">
        <f t="shared" si="15"/>
        <v>1</v>
      </c>
      <c r="S33" s="2">
        <f t="shared" si="8"/>
        <v>1</v>
      </c>
      <c r="U33" s="91">
        <v>0.28</v>
      </c>
      <c r="V33" s="2" t="str">
        <f t="shared" si="9"/>
        <v>zink</v>
      </c>
      <c r="W33" s="2">
        <f t="shared" si="10"/>
        <v>0.7</v>
      </c>
      <c r="X33" s="2">
        <f t="shared" si="11"/>
        <v>0.7</v>
      </c>
      <c r="Y33" s="2">
        <f t="shared" si="12"/>
        <v>0.7</v>
      </c>
      <c r="Z33" s="2">
        <f t="shared" si="13"/>
        <v>0.7</v>
      </c>
    </row>
    <row r="34" spans="2:24" ht="9.75" customHeight="1">
      <c r="B34" s="19" t="s">
        <v>141</v>
      </c>
      <c r="C34" s="20" t="s">
        <v>147</v>
      </c>
      <c r="D34" s="20"/>
      <c r="E34" s="20"/>
      <c r="F34" s="20"/>
      <c r="G34" s="20"/>
      <c r="H34" s="20"/>
      <c r="K34" s="100" t="s">
        <v>32</v>
      </c>
      <c r="L34" s="140" t="s">
        <v>44</v>
      </c>
      <c r="M34" s="20"/>
      <c r="N34" s="20"/>
      <c r="O34" s="20"/>
      <c r="P34" s="132"/>
      <c r="Q34" s="20"/>
      <c r="R34" s="20"/>
      <c r="S34" s="20"/>
      <c r="T34" s="20"/>
      <c r="W34" s="119"/>
      <c r="X34" s="119"/>
    </row>
    <row r="35" spans="2:20" ht="9.75" customHeight="1">
      <c r="B35" s="19" t="s">
        <v>142</v>
      </c>
      <c r="C35" s="152" t="s">
        <v>148</v>
      </c>
      <c r="D35" s="152"/>
      <c r="E35" s="152"/>
      <c r="F35" s="152"/>
      <c r="G35" s="152"/>
      <c r="H35" s="152"/>
      <c r="K35" s="100" t="s">
        <v>33</v>
      </c>
      <c r="L35" s="23" t="s">
        <v>45</v>
      </c>
      <c r="M35" s="20"/>
      <c r="N35" s="20"/>
      <c r="O35" s="20"/>
      <c r="P35" s="132"/>
      <c r="Q35" s="20"/>
      <c r="R35" s="20"/>
      <c r="S35" s="20"/>
      <c r="T35" s="20"/>
    </row>
    <row r="36" spans="2:20" ht="9.75" customHeight="1">
      <c r="B36" s="19" t="s">
        <v>10</v>
      </c>
      <c r="C36" s="20" t="s">
        <v>43</v>
      </c>
      <c r="D36" s="20"/>
      <c r="E36" s="20"/>
      <c r="F36" s="20"/>
      <c r="G36" s="20"/>
      <c r="H36" s="20"/>
      <c r="K36" s="100" t="s">
        <v>12</v>
      </c>
      <c r="L36" s="20" t="s">
        <v>16</v>
      </c>
      <c r="M36" s="20"/>
      <c r="N36" s="20"/>
      <c r="O36" s="20"/>
      <c r="P36" s="132"/>
      <c r="Q36" s="20"/>
      <c r="R36" s="20"/>
      <c r="S36" s="20"/>
      <c r="T36" s="20"/>
    </row>
    <row r="37" spans="6:20" ht="9.75" customHeight="1">
      <c r="F37" s="20"/>
      <c r="G37" s="20"/>
      <c r="H37" s="20"/>
      <c r="K37" s="100" t="str">
        <f>IF(I8=1,"","max. spreidingsmaat Ch:Cl:")</f>
        <v>max. spreidingsmaat Ch:Cl:</v>
      </c>
      <c r="L37" s="101">
        <f>IF(I8=1,"",MAX(L20:L33))</f>
        <v>1</v>
      </c>
      <c r="M37" s="20"/>
      <c r="N37" s="20"/>
      <c r="O37" s="20"/>
      <c r="P37" s="132"/>
      <c r="Q37" s="20"/>
      <c r="R37" s="20"/>
      <c r="S37" s="20"/>
      <c r="T37" s="20"/>
    </row>
    <row r="38" spans="6:15" ht="2.25" customHeight="1" hidden="1">
      <c r="F38" s="20"/>
      <c r="G38" s="20"/>
      <c r="H38" s="20"/>
      <c r="I38" s="20"/>
      <c r="J38" s="20"/>
      <c r="K38" s="100"/>
      <c r="L38" s="20"/>
      <c r="M38" s="7"/>
      <c r="N38" s="7"/>
      <c r="O38" s="7"/>
    </row>
    <row r="39" spans="6:15" ht="2.25" customHeight="1" hidden="1">
      <c r="F39" s="9"/>
      <c r="G39" s="9"/>
      <c r="H39" s="9"/>
      <c r="I39" s="9"/>
      <c r="J39" s="9"/>
      <c r="K39" s="136"/>
      <c r="L39" s="9"/>
      <c r="M39" s="7"/>
      <c r="N39" s="7"/>
      <c r="O39" s="7"/>
    </row>
    <row r="40" spans="6:12" ht="9.75" customHeight="1">
      <c r="F40" s="23"/>
      <c r="G40" s="23"/>
      <c r="H40" s="23"/>
      <c r="I40" s="23"/>
      <c r="J40" s="23"/>
      <c r="K40" s="100" t="str">
        <f>IF(I8=1,"","aantal Ch:Cl &gt; Y:")</f>
        <v>aantal Ch:Cl &gt; Y:</v>
      </c>
      <c r="L40" s="101" t="str">
        <f>IF(I8=1,"",IF(SUM(M20:M33)=0,"geen",SUM(M20:M33)))</f>
        <v>geen</v>
      </c>
    </row>
    <row r="41" spans="2:15" ht="5.25" customHeight="1">
      <c r="B41" s="122"/>
      <c r="D41" s="122"/>
      <c r="E41" s="122"/>
      <c r="F41" s="122"/>
      <c r="G41" s="122"/>
      <c r="H41" s="122"/>
      <c r="I41" s="122"/>
      <c r="J41" s="122"/>
      <c r="K41" s="108"/>
      <c r="L41" s="108"/>
      <c r="M41" s="108"/>
      <c r="N41" s="108"/>
      <c r="O41" s="108"/>
    </row>
    <row r="42" spans="2:25" ht="11.25" customHeight="1">
      <c r="B42" s="66"/>
      <c r="C42" s="66"/>
      <c r="D42" s="67" t="s">
        <v>10</v>
      </c>
      <c r="E42" s="66"/>
      <c r="F42" s="69" t="str">
        <f>IF(G4=1,"E*ZF",IF(G4=0,"E*1/AF","fout"))</f>
        <v>E*ZF</v>
      </c>
      <c r="G42" s="58"/>
      <c r="H42" s="69" t="s">
        <v>9</v>
      </c>
      <c r="I42" s="24" t="s">
        <v>145</v>
      </c>
      <c r="J42" s="134"/>
      <c r="L42" s="59" t="s">
        <v>46</v>
      </c>
      <c r="M42" s="70"/>
      <c r="N42" s="70"/>
      <c r="O42" s="120"/>
      <c r="P42" s="87"/>
      <c r="Q42" s="87"/>
      <c r="R42" s="71"/>
      <c r="S42" s="71"/>
      <c r="T42" s="71"/>
      <c r="U42" s="71" t="s">
        <v>55</v>
      </c>
      <c r="V42" s="95" t="s">
        <v>27</v>
      </c>
      <c r="W42" s="2"/>
      <c r="X42" s="2"/>
      <c r="Y42" s="2"/>
    </row>
    <row r="43" spans="2:25" ht="11.25" customHeight="1">
      <c r="B43" s="147" t="s">
        <v>149</v>
      </c>
      <c r="C43" s="147"/>
      <c r="D43" s="147"/>
      <c r="E43" s="148"/>
      <c r="F43" s="148"/>
      <c r="G43" s="148"/>
      <c r="H43" s="148"/>
      <c r="I43" s="148"/>
      <c r="J43" s="148"/>
      <c r="K43" s="148"/>
      <c r="L43" s="26"/>
      <c r="M43" s="55"/>
      <c r="N43" s="55"/>
      <c r="O43" s="13"/>
      <c r="P43" s="15"/>
      <c r="Q43" s="25"/>
      <c r="R43" s="14"/>
      <c r="S43" s="14"/>
      <c r="T43" s="14"/>
      <c r="U43" s="14"/>
      <c r="V43" s="2"/>
      <c r="W43" s="60" t="s">
        <v>52</v>
      </c>
      <c r="X43" s="2"/>
      <c r="Y43" s="2"/>
    </row>
    <row r="44" spans="2:25" ht="11.25" customHeight="1">
      <c r="B44" s="151" t="s">
        <v>11</v>
      </c>
      <c r="C44" s="151"/>
      <c r="D44" s="72"/>
      <c r="E44" s="26"/>
      <c r="F44" s="121" t="s">
        <v>67</v>
      </c>
      <c r="G44" s="2"/>
      <c r="H44" s="26"/>
      <c r="I44" s="121" t="s">
        <v>67</v>
      </c>
      <c r="J44" s="26"/>
      <c r="K44" s="26"/>
      <c r="L44" s="26"/>
      <c r="M44" s="55"/>
      <c r="N44" s="55"/>
      <c r="O44" s="121" t="s">
        <v>67</v>
      </c>
      <c r="P44" s="15"/>
      <c r="Q44" s="25" t="s">
        <v>125</v>
      </c>
      <c r="R44" s="25" t="s">
        <v>124</v>
      </c>
      <c r="S44" s="26" t="s">
        <v>127</v>
      </c>
      <c r="T44" s="26" t="s">
        <v>128</v>
      </c>
      <c r="U44" s="14"/>
      <c r="V44" s="2"/>
      <c r="W44" s="114" t="s">
        <v>126</v>
      </c>
      <c r="X44" s="2"/>
      <c r="Y44" s="2"/>
    </row>
    <row r="45" spans="2:25" ht="11.25" customHeight="1">
      <c r="B45" s="27" t="s">
        <v>17</v>
      </c>
      <c r="C45" s="27"/>
      <c r="D45" s="15">
        <f aca="true" t="shared" si="16" ref="D45:D58">K20</f>
        <v>0.006299999999999999</v>
      </c>
      <c r="F45" s="73">
        <f>IF(D45="","",D45*$F$14)</f>
        <v>0.006299999999999999</v>
      </c>
      <c r="G45" s="2"/>
      <c r="H45" s="26" t="str">
        <f>IF(F45="","",+IF(F45&gt;I45,"&gt;Eis"," "))</f>
        <v> </v>
      </c>
      <c r="I45" s="26">
        <f aca="true" t="shared" si="17" ref="I45:I58">IF(V45="",L45,IF(AND(S20=1,L45&gt;V45),U45,L45))</f>
        <v>0.009</v>
      </c>
      <c r="J45" s="26">
        <f>IF(S45=1,"*","")</f>
      </c>
      <c r="L45" s="13">
        <f>IF($AA$18=1,1000000,W45)</f>
        <v>0.07</v>
      </c>
      <c r="M45" s="55"/>
      <c r="N45" s="55"/>
      <c r="P45" s="15"/>
      <c r="Q45" s="25">
        <f>IF(D45="",0,1)</f>
        <v>1</v>
      </c>
      <c r="R45" s="25">
        <f>IF(H45="&gt;Eis",1,0)</f>
        <v>0</v>
      </c>
      <c r="S45" s="25">
        <f aca="true" t="shared" si="18" ref="S45:S58">IF(AND(S20=1,D45&gt;V45),1,0)</f>
        <v>0</v>
      </c>
      <c r="T45" s="131">
        <f>IF(AND(S45=1,F45&gt;W45),1,0)</f>
        <v>0</v>
      </c>
      <c r="U45" s="25">
        <f aca="true" t="shared" si="19" ref="U45:U58">IF(AND(S20=1,D45&gt;V45),D45,V45)</f>
        <v>0.009</v>
      </c>
      <c r="V45" s="96">
        <v>0.009</v>
      </c>
      <c r="W45" s="115">
        <v>0.07</v>
      </c>
      <c r="X45" s="2" t="str">
        <f aca="true" t="shared" si="20" ref="X45:X58">B45</f>
        <v>antimoon</v>
      </c>
      <c r="Y45" s="2"/>
    </row>
    <row r="46" spans="2:25" ht="11.25" customHeight="1">
      <c r="B46" s="27" t="s">
        <v>0</v>
      </c>
      <c r="C46" s="27"/>
      <c r="D46" s="15">
        <f t="shared" si="16"/>
        <v>0.13999999999999999</v>
      </c>
      <c r="F46" s="73">
        <f aca="true" t="shared" si="21" ref="F46:F58">IF(D46="","",D46*$F$14)</f>
        <v>0.13999999999999999</v>
      </c>
      <c r="G46" s="2"/>
      <c r="H46" s="26" t="str">
        <f aca="true" t="shared" si="22" ref="H46:H58">IF(F46="","",+IF(F46&gt;I46,"&gt;Eis"," "))</f>
        <v> </v>
      </c>
      <c r="I46" s="26">
        <f t="shared" si="17"/>
        <v>0.2</v>
      </c>
      <c r="J46" s="26">
        <f aca="true" t="shared" si="23" ref="J46:J58">IF(S46=1,"*","")</f>
      </c>
      <c r="L46" s="13">
        <f aca="true" t="shared" si="24" ref="L46:L58">IF($AA$18=1,1000000,W46)</f>
        <v>0.61</v>
      </c>
      <c r="M46" s="55"/>
      <c r="N46" s="55"/>
      <c r="P46" s="15"/>
      <c r="Q46" s="25">
        <f aca="true" t="shared" si="25" ref="Q46:Q58">IF(D46="",0,1)</f>
        <v>1</v>
      </c>
      <c r="R46" s="25">
        <f aca="true" t="shared" si="26" ref="R46:R58">IF(H46="&gt;Eis",1,0)</f>
        <v>0</v>
      </c>
      <c r="S46" s="25">
        <f t="shared" si="18"/>
        <v>0</v>
      </c>
      <c r="T46" s="131">
        <f aca="true" t="shared" si="27" ref="T46:T58">IF(AND(S46=1,F46&gt;W46),1,0)</f>
        <v>0</v>
      </c>
      <c r="U46" s="25">
        <f t="shared" si="19"/>
        <v>0.2</v>
      </c>
      <c r="V46" s="96">
        <v>0.2</v>
      </c>
      <c r="W46" s="115">
        <v>0.61</v>
      </c>
      <c r="X46" s="2" t="str">
        <f t="shared" si="20"/>
        <v>arseen</v>
      </c>
      <c r="Y46" s="2"/>
    </row>
    <row r="47" spans="2:25" ht="11.25" customHeight="1">
      <c r="B47" s="27" t="s">
        <v>20</v>
      </c>
      <c r="C47" s="27"/>
      <c r="D47" s="15">
        <f t="shared" si="16"/>
        <v>0.42</v>
      </c>
      <c r="F47" s="73">
        <f t="shared" si="21"/>
        <v>0.42</v>
      </c>
      <c r="G47" s="2"/>
      <c r="H47" s="26" t="str">
        <f t="shared" si="22"/>
        <v> </v>
      </c>
      <c r="I47" s="26">
        <f t="shared" si="17"/>
        <v>0.6</v>
      </c>
      <c r="J47" s="26">
        <f t="shared" si="23"/>
      </c>
      <c r="L47" s="13">
        <f t="shared" si="24"/>
        <v>4.1</v>
      </c>
      <c r="M47" s="55"/>
      <c r="N47" s="55"/>
      <c r="P47" s="15"/>
      <c r="Q47" s="25">
        <f t="shared" si="25"/>
        <v>1</v>
      </c>
      <c r="R47" s="25">
        <f t="shared" si="26"/>
        <v>0</v>
      </c>
      <c r="S47" s="25">
        <f t="shared" si="18"/>
        <v>0</v>
      </c>
      <c r="T47" s="131">
        <f t="shared" si="27"/>
        <v>0</v>
      </c>
      <c r="U47" s="25">
        <f t="shared" si="19"/>
        <v>0.6</v>
      </c>
      <c r="V47" s="96">
        <v>0.6</v>
      </c>
      <c r="W47" s="118">
        <f>IF(I12=1,4.1,1000000)</f>
        <v>4.1</v>
      </c>
      <c r="X47" s="2" t="str">
        <f t="shared" si="20"/>
        <v>barium</v>
      </c>
      <c r="Y47" s="2" t="str">
        <f>IF(I12=1,"Opmerking: voor Barium oude waarde ingevuld. Sinds de wijziging Rbk 07-04-2009 geldt voor Barium geen toetswaarde meer c.q. het resultaat is indicatief","Voor Barium sinds 07-04-2009 geen toetswaarde meer, er wordt gerekend met 1 kg/kg.")</f>
        <v>Opmerking: voor Barium oude waarde ingevuld. Sinds de wijziging Rbk 07-04-2009 geldt voor Barium geen toetswaarde meer c.q. het resultaat is indicatief</v>
      </c>
    </row>
    <row r="48" spans="2:25" ht="11.25" customHeight="1">
      <c r="B48" s="27" t="s">
        <v>1</v>
      </c>
      <c r="C48" s="27"/>
      <c r="D48" s="15">
        <f t="shared" si="16"/>
        <v>0.0049</v>
      </c>
      <c r="F48" s="73">
        <f t="shared" si="21"/>
        <v>0.0049</v>
      </c>
      <c r="G48" s="2"/>
      <c r="H48" s="26" t="str">
        <f t="shared" si="22"/>
        <v> </v>
      </c>
      <c r="I48" s="26">
        <f t="shared" si="17"/>
        <v>0.007</v>
      </c>
      <c r="J48" s="26">
        <f t="shared" si="23"/>
      </c>
      <c r="L48" s="13">
        <f t="shared" si="24"/>
        <v>0.051</v>
      </c>
      <c r="M48" s="55"/>
      <c r="N48" s="55"/>
      <c r="P48" s="15"/>
      <c r="Q48" s="25">
        <f t="shared" si="25"/>
        <v>1</v>
      </c>
      <c r="R48" s="25">
        <f t="shared" si="26"/>
        <v>0</v>
      </c>
      <c r="S48" s="25">
        <f t="shared" si="18"/>
        <v>0</v>
      </c>
      <c r="T48" s="131">
        <f t="shared" si="27"/>
        <v>0</v>
      </c>
      <c r="U48" s="25">
        <f t="shared" si="19"/>
        <v>0.007</v>
      </c>
      <c r="V48" s="96">
        <v>0.007</v>
      </c>
      <c r="W48" s="115">
        <v>0.051</v>
      </c>
      <c r="X48" s="2" t="str">
        <f t="shared" si="20"/>
        <v>cadmium</v>
      </c>
      <c r="Y48" s="2"/>
    </row>
    <row r="49" spans="2:25" ht="11.25" customHeight="1">
      <c r="B49" s="27" t="s">
        <v>22</v>
      </c>
      <c r="C49" s="27"/>
      <c r="D49" s="15">
        <f t="shared" si="16"/>
        <v>0.049</v>
      </c>
      <c r="F49" s="73">
        <f t="shared" si="21"/>
        <v>0.049</v>
      </c>
      <c r="G49" s="2"/>
      <c r="H49" s="26" t="str">
        <f t="shared" si="22"/>
        <v> </v>
      </c>
      <c r="I49" s="26">
        <f t="shared" si="17"/>
        <v>0.07</v>
      </c>
      <c r="J49" s="26">
        <f t="shared" si="23"/>
      </c>
      <c r="L49" s="13">
        <f t="shared" si="24"/>
        <v>0.24</v>
      </c>
      <c r="M49" s="55"/>
      <c r="N49" s="55"/>
      <c r="P49" s="15"/>
      <c r="Q49" s="25">
        <f t="shared" si="25"/>
        <v>1</v>
      </c>
      <c r="R49" s="25">
        <f t="shared" si="26"/>
        <v>0</v>
      </c>
      <c r="S49" s="25">
        <f t="shared" si="18"/>
        <v>0</v>
      </c>
      <c r="T49" s="131">
        <f t="shared" si="27"/>
        <v>0</v>
      </c>
      <c r="U49" s="25">
        <f t="shared" si="19"/>
        <v>0.07</v>
      </c>
      <c r="V49" s="96">
        <v>0.07</v>
      </c>
      <c r="W49" s="115">
        <v>0.24</v>
      </c>
      <c r="X49" s="2" t="str">
        <f t="shared" si="20"/>
        <v>kobalt</v>
      </c>
      <c r="Y49" s="2"/>
    </row>
    <row r="50" spans="2:25" ht="11.25" customHeight="1">
      <c r="B50" s="27" t="s">
        <v>2</v>
      </c>
      <c r="C50" s="27"/>
      <c r="D50" s="15">
        <f t="shared" si="16"/>
        <v>0.06999999999999999</v>
      </c>
      <c r="F50" s="73">
        <f t="shared" si="21"/>
        <v>0.06999999999999999</v>
      </c>
      <c r="G50" s="2"/>
      <c r="H50" s="26" t="str">
        <f t="shared" si="22"/>
        <v> </v>
      </c>
      <c r="I50" s="26">
        <f t="shared" si="17"/>
        <v>0.1</v>
      </c>
      <c r="J50" s="26">
        <f t="shared" si="23"/>
      </c>
      <c r="L50" s="13">
        <f t="shared" si="24"/>
        <v>0.17</v>
      </c>
      <c r="M50" s="55"/>
      <c r="N50" s="55"/>
      <c r="P50" s="15"/>
      <c r="Q50" s="25">
        <f t="shared" si="25"/>
        <v>1</v>
      </c>
      <c r="R50" s="25">
        <f t="shared" si="26"/>
        <v>0</v>
      </c>
      <c r="S50" s="25">
        <f t="shared" si="18"/>
        <v>0</v>
      </c>
      <c r="T50" s="131">
        <f t="shared" si="27"/>
        <v>0</v>
      </c>
      <c r="U50" s="25">
        <f t="shared" si="19"/>
        <v>0.1</v>
      </c>
      <c r="V50" s="96">
        <v>0.1</v>
      </c>
      <c r="W50" s="115">
        <v>0.17</v>
      </c>
      <c r="X50" s="2" t="str">
        <f t="shared" si="20"/>
        <v>chroom</v>
      </c>
      <c r="Y50" s="2"/>
    </row>
    <row r="51" spans="2:25" ht="11.25" customHeight="1">
      <c r="B51" s="27" t="s">
        <v>3</v>
      </c>
      <c r="C51" s="27"/>
      <c r="D51" s="15">
        <f t="shared" si="16"/>
        <v>0.06999999999999999</v>
      </c>
      <c r="F51" s="73">
        <f t="shared" si="21"/>
        <v>0.06999999999999999</v>
      </c>
      <c r="G51" s="2"/>
      <c r="H51" s="26" t="str">
        <f t="shared" si="22"/>
        <v> </v>
      </c>
      <c r="I51" s="26">
        <f t="shared" si="17"/>
        <v>0.1</v>
      </c>
      <c r="J51" s="26">
        <f t="shared" si="23"/>
      </c>
      <c r="L51" s="13">
        <f t="shared" si="24"/>
        <v>1</v>
      </c>
      <c r="M51" s="55"/>
      <c r="N51" s="55"/>
      <c r="P51" s="15"/>
      <c r="Q51" s="25">
        <f t="shared" si="25"/>
        <v>1</v>
      </c>
      <c r="R51" s="25">
        <f t="shared" si="26"/>
        <v>0</v>
      </c>
      <c r="S51" s="25">
        <f t="shared" si="18"/>
        <v>0</v>
      </c>
      <c r="T51" s="131">
        <f t="shared" si="27"/>
        <v>0</v>
      </c>
      <c r="U51" s="25">
        <f t="shared" si="19"/>
        <v>0.1</v>
      </c>
      <c r="V51" s="96">
        <v>0.1</v>
      </c>
      <c r="W51" s="115">
        <v>1</v>
      </c>
      <c r="X51" s="2" t="str">
        <f t="shared" si="20"/>
        <v>koper</v>
      </c>
      <c r="Y51" s="2"/>
    </row>
    <row r="52" spans="2:25" ht="11.25" customHeight="1">
      <c r="B52" s="27" t="s">
        <v>4</v>
      </c>
      <c r="C52" s="27"/>
      <c r="D52" s="15">
        <f t="shared" si="16"/>
        <v>0.0034999999999999996</v>
      </c>
      <c r="F52" s="73">
        <f t="shared" si="21"/>
        <v>0.0034999999999999996</v>
      </c>
      <c r="G52" s="2"/>
      <c r="H52" s="26" t="str">
        <f t="shared" si="22"/>
        <v> </v>
      </c>
      <c r="I52" s="26">
        <f t="shared" si="17"/>
        <v>0.005</v>
      </c>
      <c r="J52" s="26">
        <f t="shared" si="23"/>
      </c>
      <c r="L52" s="13">
        <f t="shared" si="24"/>
        <v>0.49</v>
      </c>
      <c r="M52" s="55"/>
      <c r="N52" s="55"/>
      <c r="P52" s="15"/>
      <c r="Q52" s="25">
        <f t="shared" si="25"/>
        <v>1</v>
      </c>
      <c r="R52" s="25">
        <f t="shared" si="26"/>
        <v>0</v>
      </c>
      <c r="S52" s="25">
        <f t="shared" si="18"/>
        <v>0</v>
      </c>
      <c r="T52" s="131">
        <f t="shared" si="27"/>
        <v>0</v>
      </c>
      <c r="U52" s="25">
        <f t="shared" si="19"/>
        <v>0.005</v>
      </c>
      <c r="V52" s="96">
        <v>0.005</v>
      </c>
      <c r="W52" s="115">
        <v>0.49</v>
      </c>
      <c r="X52" s="2" t="str">
        <f t="shared" si="20"/>
        <v>kwik</v>
      </c>
      <c r="Y52" s="2"/>
    </row>
    <row r="53" spans="2:25" ht="11.25" customHeight="1">
      <c r="B53" s="4" t="s">
        <v>5</v>
      </c>
      <c r="C53" s="27"/>
      <c r="D53" s="15">
        <f t="shared" si="16"/>
        <v>0.21</v>
      </c>
      <c r="F53" s="73">
        <f t="shared" si="21"/>
        <v>0.21</v>
      </c>
      <c r="G53" s="11"/>
      <c r="H53" s="26" t="str">
        <f t="shared" si="22"/>
        <v> </v>
      </c>
      <c r="I53" s="26">
        <f t="shared" si="17"/>
        <v>0.3</v>
      </c>
      <c r="J53" s="26">
        <f t="shared" si="23"/>
      </c>
      <c r="L53" s="13">
        <f t="shared" si="24"/>
        <v>15</v>
      </c>
      <c r="M53" s="55"/>
      <c r="N53" s="55"/>
      <c r="P53" s="15"/>
      <c r="Q53" s="25">
        <f t="shared" si="25"/>
        <v>1</v>
      </c>
      <c r="R53" s="25">
        <f t="shared" si="26"/>
        <v>0</v>
      </c>
      <c r="S53" s="25">
        <f t="shared" si="18"/>
        <v>0</v>
      </c>
      <c r="T53" s="131">
        <f t="shared" si="27"/>
        <v>0</v>
      </c>
      <c r="U53" s="25">
        <f t="shared" si="19"/>
        <v>0.3</v>
      </c>
      <c r="V53" s="93">
        <v>0.3</v>
      </c>
      <c r="W53" s="115">
        <v>15</v>
      </c>
      <c r="X53" s="2" t="str">
        <f t="shared" si="20"/>
        <v>lood</v>
      </c>
      <c r="Y53" s="2"/>
    </row>
    <row r="54" spans="2:25" ht="11.25" customHeight="1">
      <c r="B54" s="4" t="s">
        <v>18</v>
      </c>
      <c r="C54" s="27"/>
      <c r="D54" s="15">
        <f t="shared" si="16"/>
        <v>0.034999999999999996</v>
      </c>
      <c r="F54" s="73">
        <f t="shared" si="21"/>
        <v>0.034999999999999996</v>
      </c>
      <c r="G54" s="11"/>
      <c r="H54" s="26" t="str">
        <f t="shared" si="22"/>
        <v> </v>
      </c>
      <c r="I54" s="26">
        <f t="shared" si="17"/>
        <v>0.05</v>
      </c>
      <c r="J54" s="26">
        <f t="shared" si="23"/>
      </c>
      <c r="L54" s="13">
        <f t="shared" si="24"/>
        <v>0.48</v>
      </c>
      <c r="M54" s="55"/>
      <c r="N54" s="55"/>
      <c r="P54" s="15"/>
      <c r="Q54" s="25">
        <f t="shared" si="25"/>
        <v>1</v>
      </c>
      <c r="R54" s="25">
        <f t="shared" si="26"/>
        <v>0</v>
      </c>
      <c r="S54" s="25">
        <f t="shared" si="18"/>
        <v>0</v>
      </c>
      <c r="T54" s="131">
        <f t="shared" si="27"/>
        <v>0</v>
      </c>
      <c r="U54" s="25">
        <f t="shared" si="19"/>
        <v>0.05</v>
      </c>
      <c r="V54" s="93">
        <v>0.05</v>
      </c>
      <c r="W54" s="115">
        <v>0.48</v>
      </c>
      <c r="X54" s="2" t="str">
        <f t="shared" si="20"/>
        <v>molybdeen</v>
      </c>
      <c r="Y54" s="2"/>
    </row>
    <row r="55" spans="2:25" ht="11.25" customHeight="1">
      <c r="B55" s="4" t="s">
        <v>6</v>
      </c>
      <c r="C55" s="27"/>
      <c r="D55" s="15">
        <f t="shared" si="16"/>
        <v>0.13999999999999999</v>
      </c>
      <c r="F55" s="73">
        <f t="shared" si="21"/>
        <v>0.13999999999999999</v>
      </c>
      <c r="G55" s="11"/>
      <c r="H55" s="26" t="str">
        <f t="shared" si="22"/>
        <v> </v>
      </c>
      <c r="I55" s="26">
        <f t="shared" si="17"/>
        <v>0.2</v>
      </c>
      <c r="J55" s="26">
        <f t="shared" si="23"/>
      </c>
      <c r="L55" s="13">
        <f t="shared" si="24"/>
        <v>0.21</v>
      </c>
      <c r="M55" s="55"/>
      <c r="N55" s="55"/>
      <c r="P55" s="15"/>
      <c r="Q55" s="25">
        <f t="shared" si="25"/>
        <v>1</v>
      </c>
      <c r="R55" s="25">
        <f t="shared" si="26"/>
        <v>0</v>
      </c>
      <c r="S55" s="25">
        <f t="shared" si="18"/>
        <v>0</v>
      </c>
      <c r="T55" s="131">
        <f t="shared" si="27"/>
        <v>0</v>
      </c>
      <c r="U55" s="25">
        <f t="shared" si="19"/>
        <v>0.2</v>
      </c>
      <c r="V55" s="93">
        <v>0.2</v>
      </c>
      <c r="W55" s="115">
        <v>0.21</v>
      </c>
      <c r="X55" s="2" t="str">
        <f t="shared" si="20"/>
        <v>nikkel</v>
      </c>
      <c r="Y55" s="2"/>
    </row>
    <row r="56" spans="2:25" ht="11.25" customHeight="1">
      <c r="B56" s="4" t="s">
        <v>23</v>
      </c>
      <c r="C56" s="27"/>
      <c r="D56" s="15">
        <f t="shared" si="16"/>
        <v>0.013999999999999999</v>
      </c>
      <c r="F56" s="73">
        <f t="shared" si="21"/>
        <v>0.013999999999999999</v>
      </c>
      <c r="G56" s="11"/>
      <c r="H56" s="26" t="str">
        <f t="shared" si="22"/>
        <v> </v>
      </c>
      <c r="I56" s="26">
        <f t="shared" si="17"/>
        <v>0.02</v>
      </c>
      <c r="J56" s="26">
        <f t="shared" si="23"/>
      </c>
      <c r="L56" s="13">
        <f t="shared" si="24"/>
        <v>0.093</v>
      </c>
      <c r="M56" s="55"/>
      <c r="N56" s="55"/>
      <c r="P56" s="15"/>
      <c r="Q56" s="25">
        <f t="shared" si="25"/>
        <v>1</v>
      </c>
      <c r="R56" s="25">
        <f t="shared" si="26"/>
        <v>0</v>
      </c>
      <c r="S56" s="25">
        <f t="shared" si="18"/>
        <v>0</v>
      </c>
      <c r="T56" s="131">
        <f t="shared" si="27"/>
        <v>0</v>
      </c>
      <c r="U56" s="25">
        <f t="shared" si="19"/>
        <v>0.02</v>
      </c>
      <c r="V56" s="94">
        <v>0.02</v>
      </c>
      <c r="W56" s="116">
        <v>0.093</v>
      </c>
      <c r="X56" s="2" t="str">
        <f t="shared" si="20"/>
        <v>tin</v>
      </c>
      <c r="Y56" s="2"/>
    </row>
    <row r="57" spans="2:25" ht="11.25" customHeight="1">
      <c r="B57" s="4" t="s">
        <v>19</v>
      </c>
      <c r="C57" s="27"/>
      <c r="D57" s="15">
        <f t="shared" si="16"/>
        <v>0.21</v>
      </c>
      <c r="F57" s="73">
        <f t="shared" si="21"/>
        <v>0.21</v>
      </c>
      <c r="G57" s="11"/>
      <c r="H57" s="26" t="str">
        <f t="shared" si="22"/>
        <v> </v>
      </c>
      <c r="I57" s="26">
        <f t="shared" si="17"/>
        <v>0.3</v>
      </c>
      <c r="J57" s="26">
        <f t="shared" si="23"/>
      </c>
      <c r="L57" s="13">
        <f t="shared" si="24"/>
        <v>1.9</v>
      </c>
      <c r="M57" s="55"/>
      <c r="N57" s="55"/>
      <c r="P57" s="15"/>
      <c r="Q57" s="25">
        <f t="shared" si="25"/>
        <v>1</v>
      </c>
      <c r="R57" s="25">
        <f t="shared" si="26"/>
        <v>0</v>
      </c>
      <c r="S57" s="25">
        <f t="shared" si="18"/>
        <v>0</v>
      </c>
      <c r="T57" s="131">
        <f t="shared" si="27"/>
        <v>0</v>
      </c>
      <c r="U57" s="25">
        <f t="shared" si="19"/>
        <v>0.3</v>
      </c>
      <c r="V57" s="94">
        <v>0.3</v>
      </c>
      <c r="W57" s="115">
        <v>1.9</v>
      </c>
      <c r="X57" s="2" t="str">
        <f t="shared" si="20"/>
        <v>vanadium</v>
      </c>
      <c r="Y57" s="2"/>
    </row>
    <row r="58" spans="2:25" ht="11.25" customHeight="1">
      <c r="B58" s="10" t="s">
        <v>7</v>
      </c>
      <c r="C58" s="10"/>
      <c r="D58" s="64">
        <f t="shared" si="16"/>
        <v>0.48999999999999994</v>
      </c>
      <c r="E58" s="120"/>
      <c r="F58" s="75">
        <f t="shared" si="21"/>
        <v>0.48999999999999994</v>
      </c>
      <c r="G58" s="58"/>
      <c r="H58" s="69" t="str">
        <f t="shared" si="22"/>
        <v> </v>
      </c>
      <c r="I58" s="69">
        <f t="shared" si="17"/>
        <v>0.7</v>
      </c>
      <c r="J58" s="69">
        <f t="shared" si="23"/>
      </c>
      <c r="K58" s="120"/>
      <c r="L58" s="63">
        <f t="shared" si="24"/>
        <v>2.1</v>
      </c>
      <c r="M58" s="76"/>
      <c r="N58" s="76"/>
      <c r="O58" s="120"/>
      <c r="P58" s="15"/>
      <c r="Q58" s="25">
        <f t="shared" si="25"/>
        <v>1</v>
      </c>
      <c r="R58" s="25">
        <f t="shared" si="26"/>
        <v>0</v>
      </c>
      <c r="S58" s="25">
        <f t="shared" si="18"/>
        <v>0</v>
      </c>
      <c r="T58" s="131">
        <f t="shared" si="27"/>
        <v>0</v>
      </c>
      <c r="U58" s="25">
        <f t="shared" si="19"/>
        <v>0.7</v>
      </c>
      <c r="V58" s="94">
        <v>0.7</v>
      </c>
      <c r="W58" s="117">
        <v>2.1</v>
      </c>
      <c r="X58" s="2" t="str">
        <f t="shared" si="20"/>
        <v>zink</v>
      </c>
      <c r="Y58" s="2"/>
    </row>
    <row r="59" spans="2:25" ht="11.25" customHeight="1">
      <c r="B59" s="4" t="s">
        <v>56</v>
      </c>
      <c r="C59" s="3"/>
      <c r="D59" s="3"/>
      <c r="E59" s="3"/>
      <c r="F59" s="3"/>
      <c r="G59" s="3"/>
      <c r="H59" s="3"/>
      <c r="I59" s="130"/>
      <c r="J59" s="130"/>
      <c r="K59" s="3"/>
      <c r="L59" s="55"/>
      <c r="M59" s="15"/>
      <c r="N59" s="15"/>
      <c r="O59" s="16"/>
      <c r="P59" s="15"/>
      <c r="Q59" s="15">
        <f>SUM(Q45:Q58)</f>
        <v>14</v>
      </c>
      <c r="R59" s="15">
        <f>SUM(R45:R58)</f>
        <v>0</v>
      </c>
      <c r="S59" s="15">
        <f>SUM(S45:S58)</f>
        <v>0</v>
      </c>
      <c r="T59" s="15">
        <f>SUM(T45:T58)</f>
        <v>0</v>
      </c>
      <c r="U59" s="15"/>
      <c r="V59" s="2"/>
      <c r="W59" s="2"/>
      <c r="X59" s="2"/>
      <c r="Y59" s="2"/>
    </row>
    <row r="60" spans="2:25" ht="11.25" customHeight="1">
      <c r="B60" s="97">
        <f>IF(AND(R59=0,T59&gt;0),"Formele overschrijding, maar meting(en) kleiner detectielimiet.","")</f>
      </c>
      <c r="C60" s="98"/>
      <c r="D60" s="98"/>
      <c r="E60" s="98"/>
      <c r="F60" s="98"/>
      <c r="G60" s="98"/>
      <c r="H60" s="98"/>
      <c r="I60" s="98"/>
      <c r="J60" s="98"/>
      <c r="K60" s="98"/>
      <c r="M60" s="77">
        <f>SUM(M42:M58)</f>
        <v>0</v>
      </c>
      <c r="N60" s="77"/>
      <c r="O60" s="13"/>
      <c r="P60" s="88"/>
      <c r="Q60" s="74"/>
      <c r="R60" s="25"/>
      <c r="S60" s="25"/>
      <c r="T60" s="25"/>
      <c r="U60" s="25"/>
      <c r="V60" s="2"/>
      <c r="W60" s="2"/>
      <c r="X60" s="2"/>
      <c r="Y60" s="2"/>
    </row>
    <row r="61" spans="2:25" ht="11.25" customHeight="1">
      <c r="B61" s="97">
        <f>IF(AND(R59=0,T59&gt;0),"De verhoogde detectielimiet geldt als toetswaarde.","")</f>
      </c>
      <c r="C61" s="98"/>
      <c r="D61" s="98"/>
      <c r="E61" s="98"/>
      <c r="F61" s="98"/>
      <c r="G61" s="98"/>
      <c r="H61" s="98"/>
      <c r="K61" s="98"/>
      <c r="L61" s="28"/>
      <c r="M61" s="12"/>
      <c r="N61" s="12"/>
      <c r="O61" s="13"/>
      <c r="P61" s="15"/>
      <c r="Q61" s="25"/>
      <c r="R61" s="14"/>
      <c r="S61" s="14"/>
      <c r="T61" s="14"/>
      <c r="U61" s="14"/>
      <c r="V61" s="2"/>
      <c r="W61" s="2"/>
      <c r="X61" s="2"/>
      <c r="Y61" s="2"/>
    </row>
    <row r="62" spans="2:25" ht="11.25" customHeight="1">
      <c r="B62" s="1" t="s">
        <v>10</v>
      </c>
      <c r="C62" s="27" t="s">
        <v>13</v>
      </c>
      <c r="D62" s="27"/>
      <c r="E62" s="27"/>
      <c r="F62" s="27"/>
      <c r="G62" s="27"/>
      <c r="H62" s="27"/>
      <c r="I62" s="27"/>
      <c r="J62" s="27"/>
      <c r="K62" s="27"/>
      <c r="L62" s="27"/>
      <c r="M62" s="78"/>
      <c r="N62" s="78"/>
      <c r="O62" s="13"/>
      <c r="P62" s="15"/>
      <c r="Q62" s="25"/>
      <c r="R62" s="14"/>
      <c r="S62" s="14"/>
      <c r="T62" s="14"/>
      <c r="U62" s="14"/>
      <c r="V62" s="2"/>
      <c r="W62" s="2"/>
      <c r="X62" s="2"/>
      <c r="Y62" s="2"/>
    </row>
    <row r="63" spans="2:25" ht="11.25" customHeight="1">
      <c r="B63" s="2" t="s">
        <v>14</v>
      </c>
      <c r="C63" s="5" t="s">
        <v>137</v>
      </c>
      <c r="D63" s="5"/>
      <c r="E63" s="5"/>
      <c r="F63" s="5"/>
      <c r="G63" s="5"/>
      <c r="H63" s="5"/>
      <c r="I63" s="5"/>
      <c r="J63" s="5"/>
      <c r="K63" s="5"/>
      <c r="L63" s="5"/>
      <c r="M63" s="79"/>
      <c r="N63" s="79"/>
      <c r="O63" s="13"/>
      <c r="P63" s="15"/>
      <c r="Q63" s="25"/>
      <c r="R63" s="14"/>
      <c r="S63" s="14"/>
      <c r="T63" s="14"/>
      <c r="U63" s="14"/>
      <c r="V63" s="2"/>
      <c r="W63" s="2"/>
      <c r="X63" s="2"/>
      <c r="Y63" s="2"/>
    </row>
    <row r="64" spans="2:25" ht="11.25" customHeight="1">
      <c r="B64" s="2" t="s">
        <v>68</v>
      </c>
      <c r="C64" s="5" t="s">
        <v>69</v>
      </c>
      <c r="D64" s="5"/>
      <c r="E64" s="5"/>
      <c r="F64" s="5"/>
      <c r="G64" s="5"/>
      <c r="H64" s="5"/>
      <c r="I64" s="5"/>
      <c r="J64" s="5"/>
      <c r="K64" s="5"/>
      <c r="L64" s="5"/>
      <c r="M64" s="5"/>
      <c r="N64" s="5"/>
      <c r="O64" s="5"/>
      <c r="P64" s="87"/>
      <c r="Q64" s="26"/>
      <c r="R64" s="14"/>
      <c r="S64" s="14"/>
      <c r="T64" s="14"/>
      <c r="U64" s="14"/>
      <c r="V64" s="60"/>
      <c r="W64" s="2"/>
      <c r="X64" s="2"/>
      <c r="Y64" s="2"/>
    </row>
    <row r="65" spans="2:25" ht="11.25" customHeight="1">
      <c r="B65" s="2" t="s">
        <v>26</v>
      </c>
      <c r="C65" s="4" t="s">
        <v>131</v>
      </c>
      <c r="D65" s="4"/>
      <c r="E65" s="4"/>
      <c r="F65" s="4"/>
      <c r="G65" s="4"/>
      <c r="H65" s="4"/>
      <c r="I65" s="4"/>
      <c r="J65" s="4"/>
      <c r="K65" s="4"/>
      <c r="L65" s="4"/>
      <c r="M65" s="4"/>
      <c r="N65" s="4"/>
      <c r="O65" s="4"/>
      <c r="P65" s="3"/>
      <c r="Q65" s="3"/>
      <c r="R65" s="14"/>
      <c r="S65" s="14"/>
      <c r="T65" s="14"/>
      <c r="U65" s="14"/>
      <c r="V65" s="60"/>
      <c r="W65" s="2"/>
      <c r="X65" s="2"/>
      <c r="Y65" s="2"/>
    </row>
    <row r="66" spans="2:25" ht="11.25" customHeight="1">
      <c r="B66" s="2" t="s">
        <v>9</v>
      </c>
      <c r="C66" s="5" t="s">
        <v>138</v>
      </c>
      <c r="D66" s="5"/>
      <c r="E66" s="5"/>
      <c r="F66" s="5"/>
      <c r="G66" s="5"/>
      <c r="H66" s="5"/>
      <c r="I66" s="5"/>
      <c r="J66" s="5"/>
      <c r="K66" s="5"/>
      <c r="L66" s="5"/>
      <c r="M66" s="5"/>
      <c r="N66" s="5"/>
      <c r="O66" s="5"/>
      <c r="P66" s="87"/>
      <c r="Q66" s="26"/>
      <c r="R66" s="14"/>
      <c r="S66" s="14"/>
      <c r="T66" s="14"/>
      <c r="U66" s="14"/>
      <c r="V66" s="2"/>
      <c r="W66" s="2"/>
      <c r="X66" s="2"/>
      <c r="Y66" s="2"/>
    </row>
    <row r="67" spans="2:25" ht="11.25" customHeight="1">
      <c r="B67" s="2"/>
      <c r="C67" s="5"/>
      <c r="D67" s="5"/>
      <c r="E67" s="5"/>
      <c r="F67" s="5"/>
      <c r="G67" s="5"/>
      <c r="H67" s="5"/>
      <c r="I67" s="5"/>
      <c r="J67" s="5"/>
      <c r="K67" s="5"/>
      <c r="L67" s="5"/>
      <c r="M67" s="5"/>
      <c r="N67" s="5"/>
      <c r="O67" s="5"/>
      <c r="P67" s="87"/>
      <c r="Q67" s="26"/>
      <c r="R67" s="14"/>
      <c r="S67" s="14"/>
      <c r="T67" s="14"/>
      <c r="U67" s="14"/>
      <c r="V67" s="2"/>
      <c r="W67" s="2"/>
      <c r="X67" s="2"/>
      <c r="Y67" s="2"/>
    </row>
    <row r="68" spans="2:25" ht="12">
      <c r="B68" s="21" t="s">
        <v>136</v>
      </c>
      <c r="C68" s="141" t="str">
        <f>IF(Q59=0,"Er zijn geen meetwaarden opgegeven.",IF(I11=1,"De grond is niet inzetbaar in een GBT.",IF(AND(I9=1,R59=0),"De grond is toepasbaar als schone grond (schil en kern GBT).",IF(AND(I9=1,R59&gt;=1),"De grond is, ondanks emissieoverschrijding(en), toch toepasbaar als schone grond.",IF(I10=1,"De grond is toepasbaar in (de kern van) een GBT.",IF(R59&gt;=1,"De grond voldoet niet aan de emsie-eis voor een GBT.","De grond is toepasbaar in (de kern van) een GBT."))))))</f>
        <v>De grond is toepasbaar in (de kern van) een GBT.</v>
      </c>
      <c r="D68" s="142"/>
      <c r="E68" s="142"/>
      <c r="F68" s="142"/>
      <c r="G68" s="142"/>
      <c r="H68" s="142"/>
      <c r="I68" s="142"/>
      <c r="J68" s="142"/>
      <c r="K68" s="142"/>
      <c r="L68" s="142"/>
      <c r="M68" s="142"/>
      <c r="N68" s="142"/>
      <c r="O68" s="143"/>
      <c r="P68" s="87"/>
      <c r="Q68" s="26"/>
      <c r="R68" s="14"/>
      <c r="S68" s="14"/>
      <c r="T68" s="14"/>
      <c r="U68" s="14"/>
      <c r="V68" s="2"/>
      <c r="W68" s="2"/>
      <c r="X68" s="2"/>
      <c r="Y68" s="2"/>
    </row>
    <row r="69" spans="2:25" ht="6" customHeight="1">
      <c r="B69" s="2"/>
      <c r="C69" s="5"/>
      <c r="D69" s="5"/>
      <c r="E69" s="5"/>
      <c r="F69" s="5"/>
      <c r="G69" s="5"/>
      <c r="H69" s="5"/>
      <c r="I69" s="5"/>
      <c r="J69" s="5"/>
      <c r="K69" s="5"/>
      <c r="L69" s="5"/>
      <c r="M69" s="5"/>
      <c r="N69" s="5"/>
      <c r="O69" s="5"/>
      <c r="P69" s="87"/>
      <c r="Q69" s="26"/>
      <c r="R69" s="14"/>
      <c r="S69" s="14"/>
      <c r="T69" s="14"/>
      <c r="U69" s="14"/>
      <c r="V69" s="2"/>
      <c r="W69" s="2"/>
      <c r="X69" s="2"/>
      <c r="Y69" s="2"/>
    </row>
    <row r="70" spans="2:25" ht="12">
      <c r="B70" s="80" t="s">
        <v>132</v>
      </c>
      <c r="C70" s="65"/>
      <c r="D70" s="65"/>
      <c r="E70" s="65"/>
      <c r="F70" s="65"/>
      <c r="G70" s="65"/>
      <c r="H70" s="65"/>
      <c r="I70" s="65"/>
      <c r="J70" s="65"/>
      <c r="K70" s="65"/>
      <c r="L70" s="65"/>
      <c r="M70" s="65"/>
      <c r="N70" s="65"/>
      <c r="O70" s="81"/>
      <c r="P70" s="87"/>
      <c r="Q70" s="26"/>
      <c r="R70" s="14"/>
      <c r="S70" s="14"/>
      <c r="T70" s="14"/>
      <c r="U70" s="14"/>
      <c r="V70" s="2"/>
      <c r="W70" s="2"/>
      <c r="X70" s="2"/>
      <c r="Y70" s="2"/>
    </row>
    <row r="71" spans="2:25" ht="12">
      <c r="B71" s="82"/>
      <c r="C71" s="22"/>
      <c r="D71" s="22"/>
      <c r="E71" s="22"/>
      <c r="F71" s="22"/>
      <c r="G71" s="22"/>
      <c r="H71" s="22"/>
      <c r="I71" s="22"/>
      <c r="J71" s="22"/>
      <c r="K71" s="22"/>
      <c r="L71" s="22"/>
      <c r="M71" s="22"/>
      <c r="N71" s="22"/>
      <c r="O71" s="83"/>
      <c r="P71" s="87"/>
      <c r="Q71" s="26"/>
      <c r="R71" s="14"/>
      <c r="S71" s="14"/>
      <c r="T71" s="14"/>
      <c r="U71" s="14"/>
      <c r="V71" s="2"/>
      <c r="W71" s="2"/>
      <c r="X71" s="2"/>
      <c r="Y71" s="2"/>
    </row>
    <row r="72" spans="2:25" ht="12">
      <c r="B72" s="82" t="s">
        <v>31</v>
      </c>
      <c r="C72" s="22"/>
      <c r="D72" s="22"/>
      <c r="E72" s="123"/>
      <c r="F72" s="22"/>
      <c r="G72" s="123"/>
      <c r="H72" s="22" t="s">
        <v>28</v>
      </c>
      <c r="I72" s="123"/>
      <c r="J72" s="123"/>
      <c r="K72" s="22" t="s">
        <v>29</v>
      </c>
      <c r="L72" s="22"/>
      <c r="M72" s="22"/>
      <c r="N72" s="22"/>
      <c r="O72" s="83"/>
      <c r="P72" s="87"/>
      <c r="Q72" s="26"/>
      <c r="R72" s="14"/>
      <c r="S72" s="14"/>
      <c r="T72" s="14"/>
      <c r="U72" s="14"/>
      <c r="V72" s="2"/>
      <c r="W72" s="2"/>
      <c r="X72" s="2"/>
      <c r="Y72" s="2"/>
    </row>
    <row r="73" spans="2:25" ht="12">
      <c r="B73" s="82"/>
      <c r="C73" s="22"/>
      <c r="D73" s="22"/>
      <c r="E73" s="123"/>
      <c r="F73" s="22"/>
      <c r="G73" s="123"/>
      <c r="H73" s="22"/>
      <c r="I73" s="123"/>
      <c r="J73" s="123"/>
      <c r="K73" s="22"/>
      <c r="L73" s="22"/>
      <c r="M73" s="22"/>
      <c r="N73" s="22"/>
      <c r="O73" s="83"/>
      <c r="P73" s="87"/>
      <c r="Q73" s="26"/>
      <c r="R73" s="14"/>
      <c r="S73" s="14"/>
      <c r="T73" s="14"/>
      <c r="U73" s="14"/>
      <c r="V73" s="2"/>
      <c r="W73" s="2"/>
      <c r="X73" s="2"/>
      <c r="Y73" s="2"/>
    </row>
    <row r="74" spans="2:25" ht="12">
      <c r="B74" s="82" t="s">
        <v>30</v>
      </c>
      <c r="C74" s="11"/>
      <c r="D74" s="11"/>
      <c r="E74" s="123"/>
      <c r="F74" s="11"/>
      <c r="G74" s="123"/>
      <c r="H74" s="11" t="s">
        <v>28</v>
      </c>
      <c r="I74" s="123"/>
      <c r="J74" s="123"/>
      <c r="K74" s="11" t="s">
        <v>29</v>
      </c>
      <c r="L74" s="11"/>
      <c r="M74" s="54"/>
      <c r="N74" s="54"/>
      <c r="O74" s="124"/>
      <c r="P74" s="15"/>
      <c r="Q74" s="25"/>
      <c r="R74" s="14"/>
      <c r="S74" s="14"/>
      <c r="T74" s="14"/>
      <c r="U74" s="14"/>
      <c r="V74" s="2"/>
      <c r="W74" s="2"/>
      <c r="X74" s="2"/>
      <c r="Y74" s="2"/>
    </row>
    <row r="75" spans="2:25" ht="12">
      <c r="B75" s="84"/>
      <c r="C75" s="58"/>
      <c r="D75" s="58"/>
      <c r="E75" s="58"/>
      <c r="F75" s="58"/>
      <c r="G75" s="58"/>
      <c r="H75" s="58"/>
      <c r="I75" s="58"/>
      <c r="J75" s="58"/>
      <c r="K75" s="58"/>
      <c r="L75" s="58"/>
      <c r="M75" s="62"/>
      <c r="N75" s="62"/>
      <c r="O75" s="125"/>
      <c r="P75" s="15"/>
      <c r="Q75" s="25"/>
      <c r="R75" s="14"/>
      <c r="S75" s="14"/>
      <c r="T75" s="14"/>
      <c r="U75" s="14"/>
      <c r="V75" s="2"/>
      <c r="W75" s="2"/>
      <c r="X75" s="2"/>
      <c r="Y75" s="2"/>
    </row>
  </sheetData>
  <sheetProtection/>
  <mergeCells count="10">
    <mergeCell ref="C68:O68"/>
    <mergeCell ref="H3:O3"/>
    <mergeCell ref="B15:O15"/>
    <mergeCell ref="B43:K43"/>
    <mergeCell ref="H2:O2"/>
    <mergeCell ref="D3:G3"/>
    <mergeCell ref="D2:G2"/>
    <mergeCell ref="B44:C44"/>
    <mergeCell ref="C35:H35"/>
    <mergeCell ref="B14:C14"/>
  </mergeCells>
  <conditionalFormatting sqref="D9:D12 F9:F12 G9:G11">
    <cfRule type="expression" priority="1" dxfId="23" stopIfTrue="1">
      <formula>D8=1</formula>
    </cfRule>
    <cfRule type="expression" priority="2" dxfId="1" stopIfTrue="1">
      <formula>D8=0</formula>
    </cfRule>
  </conditionalFormatting>
  <conditionalFormatting sqref="M45:N58">
    <cfRule type="cellIs" priority="3" dxfId="9" operator="greaterThan" stopIfTrue="1">
      <formula>$O$14</formula>
    </cfRule>
  </conditionalFormatting>
  <conditionalFormatting sqref="H45:H58">
    <cfRule type="cellIs" priority="4" dxfId="20" operator="equal" stopIfTrue="1">
      <formula>"&gt;Eis nsg"</formula>
    </cfRule>
  </conditionalFormatting>
  <conditionalFormatting sqref="K13:K14">
    <cfRule type="expression" priority="5" dxfId="19" stopIfTrue="1">
      <formula>K9=1</formula>
    </cfRule>
  </conditionalFormatting>
  <conditionalFormatting sqref="I8">
    <cfRule type="expression" priority="6" dxfId="17" stopIfTrue="1">
      <formula>I8&lt;1</formula>
    </cfRule>
    <cfRule type="expression" priority="7" dxfId="17" stopIfTrue="1">
      <formula>I8&gt;2</formula>
    </cfRule>
  </conditionalFormatting>
  <conditionalFormatting sqref="G18:G33 F18 I20:J33">
    <cfRule type="expression" priority="8" dxfId="4" stopIfTrue="1">
      <formula>$I$8=1</formula>
    </cfRule>
  </conditionalFormatting>
  <conditionalFormatting sqref="J45:J58">
    <cfRule type="expression" priority="9" dxfId="9" stopIfTrue="1">
      <formula>U45=1</formula>
    </cfRule>
  </conditionalFormatting>
  <conditionalFormatting sqref="B60">
    <cfRule type="expression" priority="10" dxfId="9" stopIfTrue="1">
      <formula>AND(Q59=0,T59&gt;0)</formula>
    </cfRule>
  </conditionalFormatting>
  <conditionalFormatting sqref="B61">
    <cfRule type="expression" priority="11" dxfId="9" stopIfTrue="1">
      <formula>AND(R59=0,T59&gt;0)</formula>
    </cfRule>
  </conditionalFormatting>
  <conditionalFormatting sqref="J7">
    <cfRule type="expression" priority="12" dxfId="4" stopIfTrue="1">
      <formula>H6=1</formula>
    </cfRule>
  </conditionalFormatting>
  <conditionalFormatting sqref="K7">
    <cfRule type="expression" priority="13" dxfId="4" stopIfTrue="1">
      <formula>G6=1</formula>
    </cfRule>
  </conditionalFormatting>
  <conditionalFormatting sqref="I7">
    <cfRule type="expression" priority="14" dxfId="10" stopIfTrue="1">
      <formula>G6=1</formula>
    </cfRule>
  </conditionalFormatting>
  <conditionalFormatting sqref="I45:I58">
    <cfRule type="expression" priority="15" dxfId="9" stopIfTrue="1">
      <formula>T45=1</formula>
    </cfRule>
    <cfRule type="expression" priority="16" dxfId="1" stopIfTrue="1">
      <formula>I45=1000000</formula>
    </cfRule>
  </conditionalFormatting>
  <conditionalFormatting sqref="L45:L58">
    <cfRule type="expression" priority="17" dxfId="1" stopIfTrue="1">
      <formula>L45=1000000</formula>
    </cfRule>
  </conditionalFormatting>
  <conditionalFormatting sqref="L20:L33">
    <cfRule type="expression" priority="18" dxfId="6" stopIfTrue="1">
      <formula>AND(M20=1,$I$8=2,N20=0)</formula>
    </cfRule>
    <cfRule type="expression" priority="19" dxfId="5" stopIfTrue="1">
      <formula>L20="n.v.t."</formula>
    </cfRule>
  </conditionalFormatting>
  <conditionalFormatting sqref="F20:F33">
    <cfRule type="expression" priority="20" dxfId="4" stopIfTrue="1">
      <formula>$I$8=1</formula>
    </cfRule>
  </conditionalFormatting>
  <conditionalFormatting sqref="I19">
    <cfRule type="expression" priority="21" dxfId="1" stopIfTrue="1">
      <formula>I8=1</formula>
    </cfRule>
  </conditionalFormatting>
  <conditionalFormatting sqref="B35">
    <cfRule type="expression" priority="22" dxfId="1" stopIfTrue="1">
      <formula>I8=1</formula>
    </cfRule>
  </conditionalFormatting>
  <conditionalFormatting sqref="C35:H35">
    <cfRule type="expression" priority="23" dxfId="1" stopIfTrue="1">
      <formula>I8=1</formula>
    </cfRule>
  </conditionalFormatting>
  <conditionalFormatting sqref="G16">
    <cfRule type="expression" priority="24" dxfId="0" stopIfTrue="1">
      <formula>I8=1</formula>
    </cfRule>
  </conditionalFormatting>
  <printOptions/>
  <pageMargins left="0.7874015748031497" right="0.5905511811023623" top="0.7874015748031497" bottom="0" header="0.1968503937007874" footer="0.11811023622047245"/>
  <pageSetup horizontalDpi="600" verticalDpi="600" orientation="portrait" paperSize="9" r:id="rId3"/>
  <headerFooter alignWithMargins="0">
    <oddHeader>&amp;L&amp;8Sheet: &amp;F&amp;C
&amp;R&amp;8Blad: &amp;A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Martens</dc:creator>
  <cp:keywords/>
  <dc:description/>
  <cp:lastModifiedBy>I&amp;A</cp:lastModifiedBy>
  <cp:lastPrinted>2012-08-07T06:03:53Z</cp:lastPrinted>
  <dcterms:created xsi:type="dcterms:W3CDTF">2001-04-10T10:26:31Z</dcterms:created>
  <dcterms:modified xsi:type="dcterms:W3CDTF">2013-05-08T07:41:47Z</dcterms:modified>
  <cp:category/>
  <cp:version/>
  <cp:contentType/>
  <cp:contentStatus/>
</cp:coreProperties>
</file>